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624"/>
  <workbookPr showInkAnnotation="0" autoCompressPictures="0"/>
  <bookViews>
    <workbookView xWindow="0" yWindow="0" windowWidth="25520" windowHeight="15560" tabRatio="500" activeTab="1"/>
  </bookViews>
  <sheets>
    <sheet name="1" sheetId="1" r:id="rId1"/>
    <sheet name="2" sheetId="3" r:id="rId2"/>
    <sheet name="2c Chart" sheetId="4" r:id="rId3"/>
    <sheet name="3" sheetId="2" r:id="rId4"/>
  </sheets>
  <definedNames>
    <definedName name="age">'3'!$B:$B</definedName>
    <definedName name="assets">#REF!</definedName>
    <definedName name="assets2009">'2'!$P$10</definedName>
    <definedName name="average_benefits">'2'!$P$9</definedName>
    <definedName name="average_earnings">'2'!$P$8</definedName>
    <definedName name="beneficiaries">'2'!$H:$H</definedName>
    <definedName name="benefit_each">'2'!$J:$J</definedName>
    <definedName name="cash">#REF!</definedName>
    <definedName name="cashflow">'2'!$M:$M</definedName>
    <definedName name="contributions">#REF!</definedName>
    <definedName name="disabilityrate">'2'!$P$6</definedName>
    <definedName name="disabled">'2'!$D:$D</definedName>
    <definedName name="discount">#REF!</definedName>
    <definedName name="flow">#REF!</definedName>
    <definedName name="FV">#REF!</definedName>
    <definedName name="growth">#REF!</definedName>
    <definedName name="npv">#REF!</definedName>
    <definedName name="NPVtoDate">#REF!</definedName>
    <definedName name="nyears">#REF!</definedName>
    <definedName name="oldpop">'2'!$E:$E</definedName>
    <definedName name="oldworkers">'2'!$F:$F</definedName>
    <definedName name="oldworkrate">'2'!$P$5</definedName>
    <definedName name="rate">'3'!$I$3</definedName>
    <definedName name="retirees">'2'!#REF!</definedName>
    <definedName name="retirement_age">'3'!$I$4</definedName>
    <definedName name="retirementage">#REF!</definedName>
    <definedName name="return">'2'!$P$11</definedName>
    <definedName name="tax_each">'2'!$I:$I</definedName>
    <definedName name="taxrate">'2'!$P$7</definedName>
    <definedName name="totalbenefits">'2'!$L:$L</definedName>
    <definedName name="totaltaxes">'2'!$K:$K</definedName>
    <definedName name="withdrawals">#REF!</definedName>
    <definedName name="workers">'2'!$G:$G</definedName>
    <definedName name="x">'3'!$I$2</definedName>
    <definedName name="year">#REF!</definedName>
    <definedName name="yearlyincome">#REF!</definedName>
    <definedName name="yearzero">#REF!</definedName>
    <definedName name="youngpop">'2'!$B:$B</definedName>
    <definedName name="youngworkers">'2'!$C:$C</definedName>
    <definedName name="youngworkrate">'2'!$P$4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" i="3" l="1"/>
  <c r="P8" i="3"/>
  <c r="P6" i="3"/>
  <c r="C10" i="1"/>
  <c r="C8" i="1"/>
  <c r="C6" i="1"/>
  <c r="C4" i="1"/>
  <c r="C2" i="1"/>
  <c r="C4" i="3"/>
  <c r="F4" i="3"/>
  <c r="G4" i="3"/>
  <c r="I4" i="3"/>
  <c r="K4" i="3"/>
  <c r="D4" i="3"/>
  <c r="H4" i="3"/>
  <c r="J4" i="3"/>
  <c r="L4" i="3"/>
  <c r="M4" i="3"/>
  <c r="N4" i="3"/>
  <c r="C5" i="3"/>
  <c r="F5" i="3"/>
  <c r="G5" i="3"/>
  <c r="I5" i="3"/>
  <c r="K5" i="3"/>
  <c r="D5" i="3"/>
  <c r="H5" i="3"/>
  <c r="J5" i="3"/>
  <c r="L5" i="3"/>
  <c r="M5" i="3"/>
  <c r="N5" i="3"/>
  <c r="C6" i="3"/>
  <c r="F6" i="3"/>
  <c r="G6" i="3"/>
  <c r="I6" i="3"/>
  <c r="K6" i="3"/>
  <c r="D6" i="3"/>
  <c r="H6" i="3"/>
  <c r="J6" i="3"/>
  <c r="L6" i="3"/>
  <c r="M6" i="3"/>
  <c r="N6" i="3"/>
  <c r="C7" i="3"/>
  <c r="F7" i="3"/>
  <c r="G7" i="3"/>
  <c r="I7" i="3"/>
  <c r="K7" i="3"/>
  <c r="D7" i="3"/>
  <c r="H7" i="3"/>
  <c r="J7" i="3"/>
  <c r="L7" i="3"/>
  <c r="M7" i="3"/>
  <c r="N7" i="3"/>
  <c r="C8" i="3"/>
  <c r="F8" i="3"/>
  <c r="G8" i="3"/>
  <c r="I8" i="3"/>
  <c r="K8" i="3"/>
  <c r="D8" i="3"/>
  <c r="H8" i="3"/>
  <c r="J8" i="3"/>
  <c r="L8" i="3"/>
  <c r="M8" i="3"/>
  <c r="N8" i="3"/>
  <c r="C9" i="3"/>
  <c r="F9" i="3"/>
  <c r="G9" i="3"/>
  <c r="I9" i="3"/>
  <c r="K9" i="3"/>
  <c r="D9" i="3"/>
  <c r="H9" i="3"/>
  <c r="J9" i="3"/>
  <c r="L9" i="3"/>
  <c r="M9" i="3"/>
  <c r="N9" i="3"/>
  <c r="C10" i="3"/>
  <c r="F10" i="3"/>
  <c r="G10" i="3"/>
  <c r="I10" i="3"/>
  <c r="K10" i="3"/>
  <c r="D10" i="3"/>
  <c r="H10" i="3"/>
  <c r="J10" i="3"/>
  <c r="L10" i="3"/>
  <c r="M10" i="3"/>
  <c r="N10" i="3"/>
  <c r="C11" i="3"/>
  <c r="F11" i="3"/>
  <c r="G11" i="3"/>
  <c r="I11" i="3"/>
  <c r="K11" i="3"/>
  <c r="D11" i="3"/>
  <c r="H11" i="3"/>
  <c r="J11" i="3"/>
  <c r="L11" i="3"/>
  <c r="M11" i="3"/>
  <c r="N11" i="3"/>
  <c r="C12" i="3"/>
  <c r="F12" i="3"/>
  <c r="G12" i="3"/>
  <c r="I12" i="3"/>
  <c r="K12" i="3"/>
  <c r="D12" i="3"/>
  <c r="H12" i="3"/>
  <c r="J12" i="3"/>
  <c r="L12" i="3"/>
  <c r="M12" i="3"/>
  <c r="N12" i="3"/>
  <c r="C13" i="3"/>
  <c r="F13" i="3"/>
  <c r="G13" i="3"/>
  <c r="I13" i="3"/>
  <c r="K13" i="3"/>
  <c r="D13" i="3"/>
  <c r="H13" i="3"/>
  <c r="J13" i="3"/>
  <c r="L13" i="3"/>
  <c r="M13" i="3"/>
  <c r="N13" i="3"/>
  <c r="C14" i="3"/>
  <c r="F14" i="3"/>
  <c r="G14" i="3"/>
  <c r="I14" i="3"/>
  <c r="K14" i="3"/>
  <c r="D14" i="3"/>
  <c r="H14" i="3"/>
  <c r="J14" i="3"/>
  <c r="L14" i="3"/>
  <c r="M14" i="3"/>
  <c r="N14" i="3"/>
  <c r="C15" i="3"/>
  <c r="F15" i="3"/>
  <c r="G15" i="3"/>
  <c r="I15" i="3"/>
  <c r="K15" i="3"/>
  <c r="D15" i="3"/>
  <c r="H15" i="3"/>
  <c r="J15" i="3"/>
  <c r="L15" i="3"/>
  <c r="M15" i="3"/>
  <c r="N15" i="3"/>
  <c r="C16" i="3"/>
  <c r="F16" i="3"/>
  <c r="G16" i="3"/>
  <c r="I16" i="3"/>
  <c r="K16" i="3"/>
  <c r="D16" i="3"/>
  <c r="H16" i="3"/>
  <c r="J16" i="3"/>
  <c r="L16" i="3"/>
  <c r="M16" i="3"/>
  <c r="N16" i="3"/>
  <c r="C17" i="3"/>
  <c r="F17" i="3"/>
  <c r="G17" i="3"/>
  <c r="I17" i="3"/>
  <c r="K17" i="3"/>
  <c r="D17" i="3"/>
  <c r="H17" i="3"/>
  <c r="J17" i="3"/>
  <c r="L17" i="3"/>
  <c r="M17" i="3"/>
  <c r="N17" i="3"/>
  <c r="C18" i="3"/>
  <c r="F18" i="3"/>
  <c r="G18" i="3"/>
  <c r="I18" i="3"/>
  <c r="K18" i="3"/>
  <c r="D18" i="3"/>
  <c r="H18" i="3"/>
  <c r="J18" i="3"/>
  <c r="L18" i="3"/>
  <c r="M18" i="3"/>
  <c r="N18" i="3"/>
  <c r="C19" i="3"/>
  <c r="F19" i="3"/>
  <c r="G19" i="3"/>
  <c r="I19" i="3"/>
  <c r="K19" i="3"/>
  <c r="D19" i="3"/>
  <c r="H19" i="3"/>
  <c r="J19" i="3"/>
  <c r="L19" i="3"/>
  <c r="M19" i="3"/>
  <c r="N19" i="3"/>
  <c r="C20" i="3"/>
  <c r="F20" i="3"/>
  <c r="G20" i="3"/>
  <c r="I20" i="3"/>
  <c r="K20" i="3"/>
  <c r="D20" i="3"/>
  <c r="H20" i="3"/>
  <c r="J20" i="3"/>
  <c r="L20" i="3"/>
  <c r="M20" i="3"/>
  <c r="N20" i="3"/>
  <c r="C21" i="3"/>
  <c r="F21" i="3"/>
  <c r="G21" i="3"/>
  <c r="I21" i="3"/>
  <c r="K21" i="3"/>
  <c r="D21" i="3"/>
  <c r="H21" i="3"/>
  <c r="J21" i="3"/>
  <c r="L21" i="3"/>
  <c r="M21" i="3"/>
  <c r="N21" i="3"/>
  <c r="C22" i="3"/>
  <c r="F22" i="3"/>
  <c r="G22" i="3"/>
  <c r="I22" i="3"/>
  <c r="K22" i="3"/>
  <c r="D22" i="3"/>
  <c r="H22" i="3"/>
  <c r="J22" i="3"/>
  <c r="L22" i="3"/>
  <c r="M22" i="3"/>
  <c r="N22" i="3"/>
  <c r="C23" i="3"/>
  <c r="F23" i="3"/>
  <c r="G23" i="3"/>
  <c r="I23" i="3"/>
  <c r="K23" i="3"/>
  <c r="D23" i="3"/>
  <c r="H23" i="3"/>
  <c r="J23" i="3"/>
  <c r="L23" i="3"/>
  <c r="M23" i="3"/>
  <c r="N23" i="3"/>
  <c r="C24" i="3"/>
  <c r="F24" i="3"/>
  <c r="G24" i="3"/>
  <c r="I24" i="3"/>
  <c r="K24" i="3"/>
  <c r="D24" i="3"/>
  <c r="H24" i="3"/>
  <c r="J24" i="3"/>
  <c r="L24" i="3"/>
  <c r="M24" i="3"/>
  <c r="N24" i="3"/>
  <c r="C25" i="3"/>
  <c r="F25" i="3"/>
  <c r="G25" i="3"/>
  <c r="I25" i="3"/>
  <c r="K25" i="3"/>
  <c r="D25" i="3"/>
  <c r="H25" i="3"/>
  <c r="J25" i="3"/>
  <c r="L25" i="3"/>
  <c r="M25" i="3"/>
  <c r="N25" i="3"/>
  <c r="C26" i="3"/>
  <c r="F26" i="3"/>
  <c r="G26" i="3"/>
  <c r="I26" i="3"/>
  <c r="K26" i="3"/>
  <c r="D26" i="3"/>
  <c r="H26" i="3"/>
  <c r="J26" i="3"/>
  <c r="L26" i="3"/>
  <c r="M26" i="3"/>
  <c r="N26" i="3"/>
  <c r="C27" i="3"/>
  <c r="F27" i="3"/>
  <c r="G27" i="3"/>
  <c r="I27" i="3"/>
  <c r="K27" i="3"/>
  <c r="D27" i="3"/>
  <c r="H27" i="3"/>
  <c r="J27" i="3"/>
  <c r="L27" i="3"/>
  <c r="M27" i="3"/>
  <c r="N27" i="3"/>
  <c r="C28" i="3"/>
  <c r="F28" i="3"/>
  <c r="G28" i="3"/>
  <c r="I28" i="3"/>
  <c r="K28" i="3"/>
  <c r="D28" i="3"/>
  <c r="H28" i="3"/>
  <c r="J28" i="3"/>
  <c r="L28" i="3"/>
  <c r="M28" i="3"/>
  <c r="N28" i="3"/>
  <c r="C29" i="3"/>
  <c r="F29" i="3"/>
  <c r="G29" i="3"/>
  <c r="I29" i="3"/>
  <c r="K29" i="3"/>
  <c r="D29" i="3"/>
  <c r="H29" i="3"/>
  <c r="J29" i="3"/>
  <c r="L29" i="3"/>
  <c r="M29" i="3"/>
  <c r="N29" i="3"/>
  <c r="C30" i="3"/>
  <c r="F30" i="3"/>
  <c r="G30" i="3"/>
  <c r="I30" i="3"/>
  <c r="K30" i="3"/>
  <c r="D30" i="3"/>
  <c r="H30" i="3"/>
  <c r="J30" i="3"/>
  <c r="L30" i="3"/>
  <c r="M30" i="3"/>
  <c r="N30" i="3"/>
  <c r="C31" i="3"/>
  <c r="F31" i="3"/>
  <c r="G31" i="3"/>
  <c r="I31" i="3"/>
  <c r="K31" i="3"/>
  <c r="D31" i="3"/>
  <c r="H31" i="3"/>
  <c r="J31" i="3"/>
  <c r="L31" i="3"/>
  <c r="M31" i="3"/>
  <c r="N31" i="3"/>
  <c r="C32" i="3"/>
  <c r="F32" i="3"/>
  <c r="G32" i="3"/>
  <c r="I32" i="3"/>
  <c r="K32" i="3"/>
  <c r="D32" i="3"/>
  <c r="H32" i="3"/>
  <c r="J32" i="3"/>
  <c r="L32" i="3"/>
  <c r="M32" i="3"/>
  <c r="N32" i="3"/>
  <c r="C33" i="3"/>
  <c r="F33" i="3"/>
  <c r="G33" i="3"/>
  <c r="I33" i="3"/>
  <c r="K33" i="3"/>
  <c r="D33" i="3"/>
  <c r="H33" i="3"/>
  <c r="J33" i="3"/>
  <c r="L33" i="3"/>
  <c r="M33" i="3"/>
  <c r="N33" i="3"/>
  <c r="C34" i="3"/>
  <c r="F34" i="3"/>
  <c r="G34" i="3"/>
  <c r="I34" i="3"/>
  <c r="K34" i="3"/>
  <c r="D34" i="3"/>
  <c r="H34" i="3"/>
  <c r="J34" i="3"/>
  <c r="L34" i="3"/>
  <c r="M34" i="3"/>
  <c r="N34" i="3"/>
  <c r="C35" i="3"/>
  <c r="F35" i="3"/>
  <c r="G35" i="3"/>
  <c r="I35" i="3"/>
  <c r="K35" i="3"/>
  <c r="D35" i="3"/>
  <c r="H35" i="3"/>
  <c r="J35" i="3"/>
  <c r="L35" i="3"/>
  <c r="M35" i="3"/>
  <c r="N35" i="3"/>
  <c r="C36" i="3"/>
  <c r="F36" i="3"/>
  <c r="G36" i="3"/>
  <c r="I36" i="3"/>
  <c r="K36" i="3"/>
  <c r="D36" i="3"/>
  <c r="H36" i="3"/>
  <c r="J36" i="3"/>
  <c r="L36" i="3"/>
  <c r="M36" i="3"/>
  <c r="N36" i="3"/>
  <c r="C37" i="3"/>
  <c r="F37" i="3"/>
  <c r="G37" i="3"/>
  <c r="I37" i="3"/>
  <c r="K37" i="3"/>
  <c r="D37" i="3"/>
  <c r="H37" i="3"/>
  <c r="J37" i="3"/>
  <c r="L37" i="3"/>
  <c r="M37" i="3"/>
  <c r="N37" i="3"/>
  <c r="C38" i="3"/>
  <c r="F38" i="3"/>
  <c r="G38" i="3"/>
  <c r="I38" i="3"/>
  <c r="K38" i="3"/>
  <c r="D38" i="3"/>
  <c r="H38" i="3"/>
  <c r="J38" i="3"/>
  <c r="L38" i="3"/>
  <c r="M38" i="3"/>
  <c r="N38" i="3"/>
  <c r="C39" i="3"/>
  <c r="F39" i="3"/>
  <c r="G39" i="3"/>
  <c r="I39" i="3"/>
  <c r="K39" i="3"/>
  <c r="D39" i="3"/>
  <c r="H39" i="3"/>
  <c r="J39" i="3"/>
  <c r="L39" i="3"/>
  <c r="M39" i="3"/>
  <c r="N39" i="3"/>
  <c r="C40" i="3"/>
  <c r="F40" i="3"/>
  <c r="G40" i="3"/>
  <c r="I40" i="3"/>
  <c r="K40" i="3"/>
  <c r="D40" i="3"/>
  <c r="H40" i="3"/>
  <c r="J40" i="3"/>
  <c r="L40" i="3"/>
  <c r="M40" i="3"/>
  <c r="N40" i="3"/>
  <c r="C41" i="3"/>
  <c r="F41" i="3"/>
  <c r="G41" i="3"/>
  <c r="I41" i="3"/>
  <c r="K41" i="3"/>
  <c r="D41" i="3"/>
  <c r="H41" i="3"/>
  <c r="J41" i="3"/>
  <c r="L41" i="3"/>
  <c r="M41" i="3"/>
  <c r="N41" i="3"/>
  <c r="C42" i="3"/>
  <c r="F42" i="3"/>
  <c r="G42" i="3"/>
  <c r="I42" i="3"/>
  <c r="K42" i="3"/>
  <c r="D42" i="3"/>
  <c r="H42" i="3"/>
  <c r="J42" i="3"/>
  <c r="L42" i="3"/>
  <c r="M42" i="3"/>
  <c r="N42" i="3"/>
  <c r="C43" i="3"/>
  <c r="F43" i="3"/>
  <c r="G43" i="3"/>
  <c r="I43" i="3"/>
  <c r="K43" i="3"/>
  <c r="D43" i="3"/>
  <c r="H43" i="3"/>
  <c r="J43" i="3"/>
  <c r="L43" i="3"/>
  <c r="M43" i="3"/>
  <c r="N43" i="3"/>
  <c r="C44" i="3"/>
  <c r="F44" i="3"/>
  <c r="G44" i="3"/>
  <c r="I44" i="3"/>
  <c r="K44" i="3"/>
  <c r="D44" i="3"/>
  <c r="H44" i="3"/>
  <c r="J44" i="3"/>
  <c r="L44" i="3"/>
  <c r="M44" i="3"/>
  <c r="N44" i="3"/>
  <c r="AF28" i="3"/>
  <c r="AD28" i="3"/>
  <c r="AB28" i="3"/>
  <c r="Z28" i="3"/>
  <c r="X28" i="3"/>
  <c r="V28" i="3"/>
  <c r="T28" i="3"/>
  <c r="R28" i="3"/>
  <c r="AE49" i="3"/>
  <c r="AE48" i="3"/>
  <c r="AE47" i="3"/>
  <c r="AE46" i="3"/>
  <c r="AE45" i="3"/>
  <c r="AE44" i="3"/>
  <c r="AE43" i="3"/>
  <c r="AE42" i="3"/>
  <c r="AE41" i="3"/>
  <c r="AE40" i="3"/>
  <c r="AE39" i="3"/>
  <c r="AE38" i="3"/>
  <c r="AE37" i="3"/>
  <c r="AE36" i="3"/>
  <c r="AE35" i="3"/>
  <c r="AE34" i="3"/>
  <c r="AE33" i="3"/>
  <c r="AE32" i="3"/>
  <c r="AE31" i="3"/>
  <c r="AE30" i="3"/>
  <c r="AE29" i="3"/>
  <c r="AC49" i="3"/>
  <c r="AC48" i="3"/>
  <c r="AC47" i="3"/>
  <c r="AC46" i="3"/>
  <c r="AC45" i="3"/>
  <c r="AC44" i="3"/>
  <c r="AC43" i="3"/>
  <c r="AC42" i="3"/>
  <c r="AC41" i="3"/>
  <c r="AC40" i="3"/>
  <c r="AC39" i="3"/>
  <c r="AC38" i="3"/>
  <c r="AC37" i="3"/>
  <c r="AC36" i="3"/>
  <c r="AC35" i="3"/>
  <c r="AC34" i="3"/>
  <c r="AC33" i="3"/>
  <c r="AC32" i="3"/>
  <c r="AC31" i="3"/>
  <c r="AC30" i="3"/>
  <c r="AC29" i="3"/>
  <c r="AA49" i="3"/>
  <c r="AA48" i="3"/>
  <c r="AA47" i="3"/>
  <c r="AA46" i="3"/>
  <c r="AA45" i="3"/>
  <c r="AA44" i="3"/>
  <c r="AA43" i="3"/>
  <c r="AA42" i="3"/>
  <c r="AA41" i="3"/>
  <c r="AA40" i="3"/>
  <c r="AA39" i="3"/>
  <c r="AA38" i="3"/>
  <c r="AA37" i="3"/>
  <c r="AA36" i="3"/>
  <c r="AA35" i="3"/>
  <c r="AA34" i="3"/>
  <c r="AA33" i="3"/>
  <c r="AA32" i="3"/>
  <c r="AA31" i="3"/>
  <c r="AA30" i="3"/>
  <c r="AA29" i="3"/>
  <c r="Y49" i="3"/>
  <c r="Y48" i="3"/>
  <c r="Y47" i="3"/>
  <c r="Y46" i="3"/>
  <c r="Y45" i="3"/>
  <c r="Y44" i="3"/>
  <c r="Y43" i="3"/>
  <c r="Y42" i="3"/>
  <c r="Y41" i="3"/>
  <c r="Y40" i="3"/>
  <c r="Y39" i="3"/>
  <c r="Y38" i="3"/>
  <c r="Y37" i="3"/>
  <c r="Y36" i="3"/>
  <c r="Y35" i="3"/>
  <c r="Y34" i="3"/>
  <c r="Y33" i="3"/>
  <c r="Y32" i="3"/>
  <c r="Y31" i="3"/>
  <c r="Y30" i="3"/>
  <c r="Y29" i="3"/>
  <c r="W49" i="3"/>
  <c r="W48" i="3"/>
  <c r="W47" i="3"/>
  <c r="W46" i="3"/>
  <c r="W45" i="3"/>
  <c r="W44" i="3"/>
  <c r="W43" i="3"/>
  <c r="W42" i="3"/>
  <c r="W41" i="3"/>
  <c r="W40" i="3"/>
  <c r="W39" i="3"/>
  <c r="W38" i="3"/>
  <c r="W37" i="3"/>
  <c r="W36" i="3"/>
  <c r="W35" i="3"/>
  <c r="W34" i="3"/>
  <c r="W33" i="3"/>
  <c r="W32" i="3"/>
  <c r="W31" i="3"/>
  <c r="W30" i="3"/>
  <c r="W29" i="3"/>
  <c r="U49" i="3"/>
  <c r="U48" i="3"/>
  <c r="U47" i="3"/>
  <c r="U46" i="3"/>
  <c r="U45" i="3"/>
  <c r="U44" i="3"/>
  <c r="U43" i="3"/>
  <c r="U42" i="3"/>
  <c r="U41" i="3"/>
  <c r="U40" i="3"/>
  <c r="U39" i="3"/>
  <c r="U38" i="3"/>
  <c r="U37" i="3"/>
  <c r="U36" i="3"/>
  <c r="U35" i="3"/>
  <c r="U34" i="3"/>
  <c r="U33" i="3"/>
  <c r="U32" i="3"/>
  <c r="U31" i="3"/>
  <c r="U30" i="3"/>
  <c r="U29" i="3"/>
  <c r="S49" i="3"/>
  <c r="S48" i="3"/>
  <c r="S47" i="3"/>
  <c r="S46" i="3"/>
  <c r="S45" i="3"/>
  <c r="S44" i="3"/>
  <c r="S43" i="3"/>
  <c r="S42" i="3"/>
  <c r="S41" i="3"/>
  <c r="S40" i="3"/>
  <c r="S39" i="3"/>
  <c r="S38" i="3"/>
  <c r="S37" i="3"/>
  <c r="S36" i="3"/>
  <c r="S35" i="3"/>
  <c r="S34" i="3"/>
  <c r="S33" i="3"/>
  <c r="S32" i="3"/>
  <c r="S31" i="3"/>
  <c r="S30" i="3"/>
  <c r="S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29" i="3"/>
  <c r="AA50" i="3"/>
  <c r="Y50" i="3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20" i="2"/>
  <c r="D2" i="2"/>
  <c r="F2" i="2"/>
  <c r="D3" i="2"/>
  <c r="F3" i="2"/>
  <c r="D4" i="2"/>
  <c r="F4" i="2"/>
  <c r="D5" i="2"/>
  <c r="F5" i="2"/>
  <c r="D6" i="2"/>
  <c r="F6" i="2"/>
  <c r="D7" i="2"/>
  <c r="F7" i="2"/>
  <c r="D8" i="2"/>
  <c r="F8" i="2"/>
  <c r="D9" i="2"/>
  <c r="F9" i="2"/>
  <c r="D10" i="2"/>
  <c r="F10" i="2"/>
  <c r="D11" i="2"/>
  <c r="F11" i="2"/>
  <c r="D12" i="2"/>
  <c r="F12" i="2"/>
  <c r="D13" i="2"/>
  <c r="F13" i="2"/>
  <c r="D14" i="2"/>
  <c r="F14" i="2"/>
  <c r="D15" i="2"/>
  <c r="F15" i="2"/>
  <c r="D16" i="2"/>
  <c r="F16" i="2"/>
  <c r="D17" i="2"/>
  <c r="F17" i="2"/>
  <c r="D18" i="2"/>
  <c r="F18" i="2"/>
  <c r="D19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13" i="2"/>
  <c r="C11" i="2"/>
  <c r="C12" i="2"/>
  <c r="C4" i="2"/>
  <c r="C5" i="2"/>
  <c r="C6" i="2"/>
  <c r="C7" i="2"/>
  <c r="C8" i="2"/>
  <c r="C9" i="2"/>
  <c r="C10" i="2"/>
  <c r="C3" i="2"/>
  <c r="B5" i="3"/>
  <c r="E5" i="3"/>
  <c r="B6" i="3"/>
  <c r="E6" i="3"/>
  <c r="B7" i="3"/>
  <c r="E7" i="3"/>
  <c r="B8" i="3"/>
  <c r="E8" i="3"/>
  <c r="B10" i="3"/>
  <c r="E10" i="3"/>
  <c r="B11" i="3"/>
  <c r="E11" i="3"/>
  <c r="B12" i="3"/>
  <c r="E12" i="3"/>
  <c r="B13" i="3"/>
  <c r="E13" i="3"/>
  <c r="B15" i="3"/>
  <c r="E15" i="3"/>
  <c r="B16" i="3"/>
  <c r="E16" i="3"/>
  <c r="B17" i="3"/>
  <c r="E17" i="3"/>
  <c r="B18" i="3"/>
  <c r="E18" i="3"/>
  <c r="B20" i="3"/>
  <c r="E20" i="3"/>
  <c r="B21" i="3"/>
  <c r="E21" i="3"/>
  <c r="B22" i="3"/>
  <c r="E22" i="3"/>
  <c r="B23" i="3"/>
  <c r="E23" i="3"/>
  <c r="B25" i="3"/>
  <c r="E25" i="3"/>
  <c r="B26" i="3"/>
  <c r="E26" i="3"/>
  <c r="B27" i="3"/>
  <c r="E27" i="3"/>
  <c r="B28" i="3"/>
  <c r="E28" i="3"/>
  <c r="B30" i="3"/>
  <c r="E30" i="3"/>
  <c r="B31" i="3"/>
  <c r="E31" i="3"/>
  <c r="B32" i="3"/>
  <c r="E32" i="3"/>
  <c r="B33" i="3"/>
  <c r="E33" i="3"/>
  <c r="B35" i="3"/>
  <c r="E35" i="3"/>
  <c r="B36" i="3"/>
  <c r="E36" i="3"/>
  <c r="B37" i="3"/>
  <c r="E37" i="3"/>
  <c r="B38" i="3"/>
  <c r="E38" i="3"/>
  <c r="B40" i="3"/>
  <c r="E40" i="3"/>
  <c r="B41" i="3"/>
  <c r="E41" i="3"/>
  <c r="B42" i="3"/>
  <c r="E42" i="3"/>
  <c r="B43" i="3"/>
  <c r="E43" i="3"/>
</calcChain>
</file>

<file path=xl/comments1.xml><?xml version="1.0" encoding="utf-8"?>
<comments xmlns="http://schemas.openxmlformats.org/spreadsheetml/2006/main">
  <authors>
    <author xml:space="preserve"> </author>
    <author>B A</author>
  </authors>
  <commentList>
    <comment ref="B3" authorId="0">
      <text>
        <r>
          <rPr>
            <b/>
            <sz val="8"/>
            <color indexed="81"/>
            <rFont val="Tahoma"/>
          </rPr>
          <t>Source: Census Bureau projections for every 5 years, 2010-2050</t>
        </r>
      </text>
    </comment>
    <comment ref="E3" authorId="0">
      <text>
        <r>
          <rPr>
            <b/>
            <sz val="8"/>
            <color indexed="81"/>
            <rFont val="Tahoma"/>
          </rPr>
          <t>Source: Census Bureau projections for every 5 years, 2010-2050</t>
        </r>
        <r>
          <rPr>
            <sz val="8"/>
            <color indexed="81"/>
            <rFont val="Tahoma"/>
          </rPr>
          <t xml:space="preserve">
</t>
        </r>
      </text>
    </comment>
    <comment ref="P6" authorId="0">
      <text>
        <r>
          <rPr>
            <b/>
            <sz val="8"/>
            <color indexed="81"/>
            <rFont val="Tahoma"/>
          </rPr>
          <t>Social Security Trustees' report 2010, page 53</t>
        </r>
      </text>
    </comment>
    <comment ref="P8" authorId="0">
      <text>
        <r>
          <rPr>
            <b/>
            <sz val="8"/>
            <color indexed="81"/>
            <rFont val="Tahoma"/>
          </rPr>
          <t>From Social Security Trustees' Report 2010, pages 5 and 53</t>
        </r>
      </text>
    </comment>
    <comment ref="P9" authorId="1">
      <text>
        <r>
          <rPr>
            <b/>
            <sz val="9"/>
            <color indexed="81"/>
            <rFont val="Arial"/>
          </rPr>
          <t>Trust fund report: p5, 53</t>
        </r>
      </text>
    </comment>
    <comment ref="P10" authorId="0">
      <text>
        <r>
          <rPr>
            <b/>
            <sz val="8"/>
            <color indexed="81"/>
            <rFont val="Tahoma"/>
          </rPr>
          <t>From Social Security Trustees' Report p. 5 OASDI</t>
        </r>
      </text>
    </comment>
    <comment ref="Y50" authorId="0">
      <text>
        <r>
          <rPr>
            <b/>
            <sz val="8"/>
            <color indexed="81"/>
            <rFont val="Tahoma"/>
          </rPr>
          <t>From Social Security Trustees' Report 2010, pages 5 and 53</t>
        </r>
      </text>
    </comment>
    <comment ref="AA50" authorId="1">
      <text>
        <r>
          <rPr>
            <b/>
            <sz val="9"/>
            <color indexed="81"/>
            <rFont val="Arial"/>
          </rPr>
          <t>Trust fund report: p5, 53</t>
        </r>
      </text>
    </comment>
    <comment ref="AC50" authorId="0">
      <text>
        <r>
          <rPr>
            <b/>
            <sz val="8"/>
            <color indexed="81"/>
            <rFont val="Tahoma"/>
          </rPr>
          <t>From Social Security Trustees' Report p. 5 OASDI</t>
        </r>
      </text>
    </comment>
  </commentList>
</comments>
</file>

<file path=xl/sharedStrings.xml><?xml version="1.0" encoding="utf-8"?>
<sst xmlns="http://schemas.openxmlformats.org/spreadsheetml/2006/main" count="82" uniqueCount="68">
  <si>
    <t>(all population figures are in millions)</t>
  </si>
  <si>
    <t>(cashflows and assets in billions)</t>
  </si>
  <si>
    <t>Age 18 to 64</t>
  </si>
  <si>
    <t>Age 65 and up</t>
  </si>
  <si>
    <t>Receiving</t>
  </si>
  <si>
    <t>Tax per</t>
  </si>
  <si>
    <t>Benefit per</t>
  </si>
  <si>
    <t>Total</t>
  </si>
  <si>
    <t>Net</t>
  </si>
  <si>
    <t>Projected</t>
  </si>
  <si>
    <t>Year</t>
  </si>
  <si>
    <t>Population</t>
  </si>
  <si>
    <t>Working</t>
  </si>
  <si>
    <t>Disabled</t>
  </si>
  <si>
    <t>Workers</t>
  </si>
  <si>
    <t>Benefits</t>
  </si>
  <si>
    <t>Worker</t>
  </si>
  <si>
    <t>Recipient</t>
  </si>
  <si>
    <t>Taxes</t>
  </si>
  <si>
    <t>Cashflow</t>
  </si>
  <si>
    <t>Assets</t>
  </si>
  <si>
    <t>Labor force participation, age 18-64</t>
  </si>
  <si>
    <t>Labor force participation, age 65+</t>
  </si>
  <si>
    <t>Disability rate, age 18-64</t>
  </si>
  <si>
    <t>Tax rate</t>
  </si>
  <si>
    <t>Average taxable earnings per worker</t>
  </si>
  <si>
    <t>Average benefits per beneficiary</t>
  </si>
  <si>
    <t>Assets, end of 2009, billions</t>
  </si>
  <si>
    <t>Real rate of return on investment</t>
  </si>
  <si>
    <t>Part a</t>
  </si>
  <si>
    <t>Instead of going empty in 2030 the trust fund will go empty in 2027.</t>
  </si>
  <si>
    <t>Part b</t>
  </si>
  <si>
    <t>The tax rate needs to be increased from 12.4% to 15% to stay solvent until 2050.</t>
  </si>
  <si>
    <t>Part c</t>
  </si>
  <si>
    <t>Age</t>
  </si>
  <si>
    <t>Salary</t>
  </si>
  <si>
    <t>Retirement Contribution</t>
  </si>
  <si>
    <t>Retirement Payout</t>
  </si>
  <si>
    <t>Retirement Fund Value</t>
  </si>
  <si>
    <t>$ values in 1000s</t>
  </si>
  <si>
    <t>x</t>
  </si>
  <si>
    <t>r</t>
  </si>
  <si>
    <t>We use Goal Seek to determine that a 4.1% contribution will get us $2m by the time we retire.</t>
  </si>
  <si>
    <t>Your final salary is 779k.</t>
  </si>
  <si>
    <t>Retirement age</t>
  </si>
  <si>
    <t>(Age during first year retired)</t>
  </si>
  <si>
    <t>We use Goal Seek to determine that you can retire sometime when you are 44, so about 22/23 working years.</t>
  </si>
  <si>
    <t>Relative change</t>
  </si>
  <si>
    <t>Data Table of 2050 Trust Fund Value</t>
  </si>
  <si>
    <t>Default Value</t>
  </si>
  <si>
    <t>Labor Force Participation &lt;65</t>
  </si>
  <si>
    <t>Labor Force Participation 65+</t>
  </si>
  <si>
    <t>Disability Rate</t>
  </si>
  <si>
    <t>Tax Rate</t>
  </si>
  <si>
    <t>Earnings</t>
  </si>
  <si>
    <t>2009 Assets</t>
  </si>
  <si>
    <t>Rate of Return</t>
  </si>
  <si>
    <t>The trust fund in 2050 is most sensitive to changes in the size of the social security benefits, the labor force participation rate of those 18-64, the rate of social security taxes, and the average earnings of workers.</t>
  </si>
  <si>
    <t>1a</t>
  </si>
  <si>
    <t>1b</t>
  </si>
  <si>
    <t>95.13 years</t>
  </si>
  <si>
    <t>Weight age 95 by 0.87 and age 96 by 0.13</t>
  </si>
  <si>
    <t>The payments of the original loan are =PMT(12%/4,10*4,-100e3)</t>
  </si>
  <si>
    <t>The remaining amount is the present value of the remaining payments =PV(12%/4,5*4,-payment)</t>
  </si>
  <si>
    <t>The size of the new loan is 1.05*remaining on old loan</t>
  </si>
  <si>
    <t>The size of the payments on the new loan is =PMT(8%/4,20*4,-loan size)</t>
  </si>
  <si>
    <t>Hence the new loan payments are</t>
  </si>
  <si>
    <t>less than the old payments.  However the new loan is for 20 years while the old one only had 5 years remaining.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</si>
</sst>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0.0%"/>
  </numFmts>
  <fonts count="1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b/>
      <i/>
      <sz val="10"/>
      <name val="Arial"/>
    </font>
    <font>
      <b/>
      <sz val="10"/>
      <name val="Arial"/>
    </font>
    <font>
      <b/>
      <sz val="8"/>
      <color indexed="81"/>
      <name val="Tahoma"/>
    </font>
    <font>
      <sz val="8"/>
      <color indexed="81"/>
      <name val="Tahoma"/>
    </font>
    <font>
      <b/>
      <sz val="9"/>
      <color indexed="8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5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0" fontId="3" fillId="0" borderId="0" xfId="3"/>
    <xf numFmtId="164" fontId="0" fillId="0" borderId="2" xfId="4" applyNumberFormat="1" applyFont="1" applyBorder="1"/>
    <xf numFmtId="164" fontId="0" fillId="0" borderId="0" xfId="4" applyNumberFormat="1" applyFont="1"/>
    <xf numFmtId="165" fontId="4" fillId="0" borderId="0" xfId="4" applyNumberFormat="1" applyFont="1" applyAlignment="1">
      <alignment horizontal="center"/>
    </xf>
    <xf numFmtId="0" fontId="3" fillId="0" borderId="0" xfId="3" applyAlignment="1">
      <alignment horizontal="center"/>
    </xf>
    <xf numFmtId="1" fontId="3" fillId="0" borderId="0" xfId="3" applyNumberFormat="1" applyAlignment="1"/>
    <xf numFmtId="164" fontId="0" fillId="0" borderId="2" xfId="4" applyNumberFormat="1" applyFont="1" applyBorder="1" applyAlignment="1">
      <alignment horizontal="center"/>
    </xf>
    <xf numFmtId="164" fontId="0" fillId="0" borderId="0" xfId="4" applyNumberFormat="1" applyFont="1" applyAlignment="1">
      <alignment horizontal="center"/>
    </xf>
    <xf numFmtId="165" fontId="0" fillId="0" borderId="2" xfId="4" applyNumberFormat="1" applyFont="1" applyBorder="1" applyAlignment="1">
      <alignment horizontal="center"/>
    </xf>
    <xf numFmtId="165" fontId="0" fillId="0" borderId="0" xfId="4" applyNumberFormat="1" applyFont="1" applyAlignment="1">
      <alignment horizontal="center"/>
    </xf>
    <xf numFmtId="1" fontId="3" fillId="0" borderId="0" xfId="3" applyNumberFormat="1" applyAlignment="1">
      <alignment horizontal="center"/>
    </xf>
    <xf numFmtId="1" fontId="3" fillId="0" borderId="0" xfId="3" applyNumberFormat="1"/>
    <xf numFmtId="165" fontId="0" fillId="0" borderId="2" xfId="4" applyNumberFormat="1" applyFont="1" applyBorder="1"/>
    <xf numFmtId="165" fontId="0" fillId="0" borderId="0" xfId="4" applyNumberFormat="1" applyFont="1"/>
    <xf numFmtId="165" fontId="4" fillId="0" borderId="2" xfId="4" applyNumberFormat="1" applyFont="1" applyBorder="1"/>
    <xf numFmtId="165" fontId="4" fillId="0" borderId="0" xfId="4" applyNumberFormat="1" applyFont="1"/>
    <xf numFmtId="6" fontId="5" fillId="0" borderId="0" xfId="4" applyNumberFormat="1" applyFont="1"/>
    <xf numFmtId="166" fontId="3" fillId="0" borderId="0" xfId="3" applyNumberFormat="1"/>
    <xf numFmtId="166" fontId="0" fillId="0" borderId="0" xfId="5" applyNumberFormat="1" applyFont="1"/>
    <xf numFmtId="165" fontId="3" fillId="0" borderId="0" xfId="3" applyNumberFormat="1"/>
    <xf numFmtId="6" fontId="6" fillId="0" borderId="0" xfId="3" applyNumberFormat="1" applyFont="1"/>
    <xf numFmtId="9" fontId="3" fillId="0" borderId="0" xfId="3" applyNumberFormat="1"/>
    <xf numFmtId="1" fontId="3" fillId="0" borderId="0" xfId="3" applyNumberFormat="1" applyBorder="1"/>
    <xf numFmtId="3" fontId="3" fillId="0" borderId="0" xfId="3" applyNumberFormat="1" applyFont="1" applyBorder="1" applyAlignment="1" applyProtection="1">
      <alignment horizontal="right"/>
      <protection locked="0"/>
    </xf>
    <xf numFmtId="2" fontId="3" fillId="0" borderId="0" xfId="3" applyNumberFormat="1" applyBorder="1"/>
    <xf numFmtId="1" fontId="0" fillId="0" borderId="0" xfId="0" applyNumberFormat="1"/>
    <xf numFmtId="166" fontId="0" fillId="0" borderId="0" xfId="0" applyNumberFormat="1"/>
    <xf numFmtId="0" fontId="2" fillId="0" borderId="0" xfId="0" applyFont="1"/>
    <xf numFmtId="0" fontId="2" fillId="2" borderId="0" xfId="0" applyFont="1" applyFill="1"/>
    <xf numFmtId="0" fontId="6" fillId="2" borderId="0" xfId="3" applyFont="1" applyFill="1"/>
    <xf numFmtId="0" fontId="3" fillId="0" borderId="0" xfId="3" applyAlignment="1">
      <alignment wrapText="1"/>
    </xf>
    <xf numFmtId="165" fontId="3" fillId="0" borderId="0" xfId="1" applyNumberFormat="1" applyFont="1"/>
    <xf numFmtId="166" fontId="3" fillId="0" borderId="0" xfId="2" applyNumberFormat="1" applyFont="1"/>
    <xf numFmtId="6" fontId="0" fillId="0" borderId="0" xfId="0" applyNumberFormat="1"/>
    <xf numFmtId="8" fontId="0" fillId="0" borderId="0" xfId="0" applyNumberFormat="1"/>
    <xf numFmtId="1" fontId="4" fillId="0" borderId="0" xfId="3" applyNumberFormat="1" applyFont="1" applyAlignment="1">
      <alignment horizontal="center"/>
    </xf>
    <xf numFmtId="1" fontId="4" fillId="0" borderId="1" xfId="3" applyNumberFormat="1" applyFont="1" applyBorder="1" applyAlignment="1">
      <alignment horizontal="center"/>
    </xf>
    <xf numFmtId="165" fontId="4" fillId="0" borderId="0" xfId="4" applyNumberFormat="1" applyFont="1" applyAlignment="1">
      <alignment horizontal="center"/>
    </xf>
    <xf numFmtId="1" fontId="3" fillId="0" borderId="0" xfId="3" applyNumberFormat="1" applyAlignment="1">
      <alignment horizontal="center"/>
    </xf>
  </cellXfs>
  <cellStyles count="56">
    <cellStyle name="Currency" xfId="1" builtinId="4"/>
    <cellStyle name="Currency 2" xfId="4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Normal" xfId="0" builtinId="0"/>
    <cellStyle name="Normal 2" xfId="3"/>
    <cellStyle name="Percent" xfId="2" builtinId="5"/>
    <cellStyle name="Percent 2" xf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4" Type="http://schemas.openxmlformats.org/officeDocument/2006/relationships/worksheet" Target="worksheets/sheet3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2050 Trust Fund Value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36253862762567"/>
          <c:y val="0.162857142857143"/>
          <c:w val="0.496686973761307"/>
          <c:h val="0.626428571428571"/>
        </c:manualLayout>
      </c:layout>
      <c:scatterChart>
        <c:scatterStyle val="lineMarker"/>
        <c:varyColors val="0"/>
        <c:ser>
          <c:idx val="0"/>
          <c:order val="0"/>
          <c:tx>
            <c:strRef>
              <c:f>'2'!$Q$28</c:f>
              <c:strCache>
                <c:ptCount val="1"/>
                <c:pt idx="0">
                  <c:v>Labor Force Participation &lt;65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'2'!$R$29:$R$49</c:f>
              <c:numCache>
                <c:formatCode>"$"#,##0_);[Red]\("$"#,##0\)</c:formatCode>
                <c:ptCount val="21"/>
                <c:pt idx="0">
                  <c:v>-17195.18739925861</c:v>
                </c:pt>
                <c:pt idx="1">
                  <c:v>-16658.93230750734</c:v>
                </c:pt>
                <c:pt idx="2">
                  <c:v>-16122.67721575608</c:v>
                </c:pt>
                <c:pt idx="3">
                  <c:v>-15586.42212400482</c:v>
                </c:pt>
                <c:pt idx="4">
                  <c:v>-15050.16703225355</c:v>
                </c:pt>
                <c:pt idx="5">
                  <c:v>-14513.91194050229</c:v>
                </c:pt>
                <c:pt idx="6">
                  <c:v>-13977.65684875102</c:v>
                </c:pt>
                <c:pt idx="7">
                  <c:v>-13441.40175699975</c:v>
                </c:pt>
                <c:pt idx="8">
                  <c:v>-12905.14666524848</c:v>
                </c:pt>
                <c:pt idx="9">
                  <c:v>-12368.89157349723</c:v>
                </c:pt>
                <c:pt idx="10">
                  <c:v>-11832.63648174596</c:v>
                </c:pt>
                <c:pt idx="11">
                  <c:v>-11296.3813899947</c:v>
                </c:pt>
                <c:pt idx="12">
                  <c:v>-10760.12629824343</c:v>
                </c:pt>
                <c:pt idx="13">
                  <c:v>-10223.87120649216</c:v>
                </c:pt>
                <c:pt idx="14">
                  <c:v>-9687.6161147409</c:v>
                </c:pt>
                <c:pt idx="15">
                  <c:v>-9151.361022989639</c:v>
                </c:pt>
                <c:pt idx="16">
                  <c:v>-8615.105931238362</c:v>
                </c:pt>
                <c:pt idx="17">
                  <c:v>-8078.850839487105</c:v>
                </c:pt>
                <c:pt idx="18">
                  <c:v>-7542.595747735833</c:v>
                </c:pt>
                <c:pt idx="19">
                  <c:v>-7006.340655984573</c:v>
                </c:pt>
                <c:pt idx="20">
                  <c:v>-6470.0855642333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'2'!$S$28</c:f>
              <c:strCache>
                <c:ptCount val="1"/>
                <c:pt idx="0">
                  <c:v>Labor Force Participation 65+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'2'!$T$29:$T$48</c:f>
              <c:numCache>
                <c:formatCode>"$"#,##0_);[Red]\("$"#,##0\)</c:formatCode>
                <c:ptCount val="20"/>
                <c:pt idx="0">
                  <c:v>-12064.50061524374</c:v>
                </c:pt>
                <c:pt idx="1">
                  <c:v>-12041.31420189397</c:v>
                </c:pt>
                <c:pt idx="2">
                  <c:v>-12018.12778854419</c:v>
                </c:pt>
                <c:pt idx="3">
                  <c:v>-11994.94137519441</c:v>
                </c:pt>
                <c:pt idx="4">
                  <c:v>-11971.75496184463</c:v>
                </c:pt>
                <c:pt idx="5">
                  <c:v>-11948.56854849485</c:v>
                </c:pt>
                <c:pt idx="6">
                  <c:v>-11925.38213514508</c:v>
                </c:pt>
                <c:pt idx="7">
                  <c:v>-11902.19572179529</c:v>
                </c:pt>
                <c:pt idx="8">
                  <c:v>-11879.00930844551</c:v>
                </c:pt>
                <c:pt idx="9">
                  <c:v>-11855.82289509574</c:v>
                </c:pt>
                <c:pt idx="10">
                  <c:v>-11832.63648174596</c:v>
                </c:pt>
                <c:pt idx="11">
                  <c:v>-11809.45006839619</c:v>
                </c:pt>
                <c:pt idx="12">
                  <c:v>-11786.2636550464</c:v>
                </c:pt>
                <c:pt idx="13">
                  <c:v>-11763.07724169663</c:v>
                </c:pt>
                <c:pt idx="14">
                  <c:v>-11739.89082834685</c:v>
                </c:pt>
                <c:pt idx="15">
                  <c:v>-11716.70441499707</c:v>
                </c:pt>
                <c:pt idx="16">
                  <c:v>-11693.5180016473</c:v>
                </c:pt>
                <c:pt idx="17">
                  <c:v>-11670.33158829752</c:v>
                </c:pt>
                <c:pt idx="18">
                  <c:v>-11647.14517494773</c:v>
                </c:pt>
                <c:pt idx="19">
                  <c:v>-11623.95876159796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'2'!$U$28</c:f>
              <c:strCache>
                <c:ptCount val="1"/>
                <c:pt idx="0">
                  <c:v>Disability Rate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'2'!$V$29:$V$49</c:f>
              <c:numCache>
                <c:formatCode>"$"#,##0_);[Red]\("$"#,##0\)</c:formatCode>
                <c:ptCount val="21"/>
                <c:pt idx="0">
                  <c:v>-10591.48376166417</c:v>
                </c:pt>
                <c:pt idx="1">
                  <c:v>-10721.36926243637</c:v>
                </c:pt>
                <c:pt idx="2">
                  <c:v>-10851.25476320857</c:v>
                </c:pt>
                <c:pt idx="3">
                  <c:v>-10981.14026398078</c:v>
                </c:pt>
                <c:pt idx="4">
                  <c:v>-11111.02576475298</c:v>
                </c:pt>
                <c:pt idx="5">
                  <c:v>-11240.91126552518</c:v>
                </c:pt>
                <c:pt idx="6">
                  <c:v>-11370.79676629739</c:v>
                </c:pt>
                <c:pt idx="7">
                  <c:v>-11500.68226706959</c:v>
                </c:pt>
                <c:pt idx="8">
                  <c:v>-11630.56776784179</c:v>
                </c:pt>
                <c:pt idx="9">
                  <c:v>-11760.453268614</c:v>
                </c:pt>
                <c:pt idx="10">
                  <c:v>-11890.3387693862</c:v>
                </c:pt>
                <c:pt idx="11">
                  <c:v>-12020.22427015839</c:v>
                </c:pt>
                <c:pt idx="12">
                  <c:v>-12150.1097709306</c:v>
                </c:pt>
                <c:pt idx="13">
                  <c:v>-12279.9952717028</c:v>
                </c:pt>
                <c:pt idx="14">
                  <c:v>-12409.880772475</c:v>
                </c:pt>
                <c:pt idx="15">
                  <c:v>-12539.76627324721</c:v>
                </c:pt>
                <c:pt idx="16">
                  <c:v>-12669.65177401941</c:v>
                </c:pt>
                <c:pt idx="17">
                  <c:v>-12799.53727479162</c:v>
                </c:pt>
                <c:pt idx="18">
                  <c:v>-12929.42277556382</c:v>
                </c:pt>
                <c:pt idx="19">
                  <c:v>-13059.30827633602</c:v>
                </c:pt>
                <c:pt idx="20">
                  <c:v>-13189.19377710823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'2'!$W$28</c:f>
              <c:strCache>
                <c:ptCount val="1"/>
                <c:pt idx="0">
                  <c:v>Tax Rate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'2'!$X$29:$X$49</c:f>
              <c:numCache>
                <c:formatCode>"$"#,##0_);[Red]\("$"#,##0\)</c:formatCode>
                <c:ptCount val="21"/>
                <c:pt idx="0">
                  <c:v>-17427.05153275639</c:v>
                </c:pt>
                <c:pt idx="1">
                  <c:v>-16867.61002765534</c:v>
                </c:pt>
                <c:pt idx="2">
                  <c:v>-16308.16852255432</c:v>
                </c:pt>
                <c:pt idx="3">
                  <c:v>-15748.72701745327</c:v>
                </c:pt>
                <c:pt idx="4">
                  <c:v>-15189.28551235222</c:v>
                </c:pt>
                <c:pt idx="5">
                  <c:v>-14629.84400725117</c:v>
                </c:pt>
                <c:pt idx="6">
                  <c:v>-14070.40250215012</c:v>
                </c:pt>
                <c:pt idx="7">
                  <c:v>-13510.96099704908</c:v>
                </c:pt>
                <c:pt idx="8">
                  <c:v>-12951.51949194804</c:v>
                </c:pt>
                <c:pt idx="9">
                  <c:v>-12392.077986847</c:v>
                </c:pt>
                <c:pt idx="10">
                  <c:v>-11832.63648174596</c:v>
                </c:pt>
                <c:pt idx="11">
                  <c:v>-11273.19497664493</c:v>
                </c:pt>
                <c:pt idx="12">
                  <c:v>-10713.75347154386</c:v>
                </c:pt>
                <c:pt idx="13">
                  <c:v>-10154.31196644283</c:v>
                </c:pt>
                <c:pt idx="14">
                  <c:v>-9594.870461341783</c:v>
                </c:pt>
                <c:pt idx="15">
                  <c:v>-9035.428956240738</c:v>
                </c:pt>
                <c:pt idx="16">
                  <c:v>-8475.987451139704</c:v>
                </c:pt>
                <c:pt idx="17">
                  <c:v>-7916.545946038645</c:v>
                </c:pt>
                <c:pt idx="18">
                  <c:v>-7357.104440937607</c:v>
                </c:pt>
                <c:pt idx="19">
                  <c:v>-6797.662935836575</c:v>
                </c:pt>
                <c:pt idx="20">
                  <c:v>-6238.22143073551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'2'!$Y$28</c:f>
              <c:strCache>
                <c:ptCount val="1"/>
                <c:pt idx="0">
                  <c:v>Earnings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'2'!$Z$29:$Z$49</c:f>
              <c:numCache>
                <c:formatCode>"$"#,##0_);[Red]\("$"#,##0\)</c:formatCode>
                <c:ptCount val="21"/>
                <c:pt idx="0">
                  <c:v>-17427.05153275639</c:v>
                </c:pt>
                <c:pt idx="1">
                  <c:v>-16867.61002765535</c:v>
                </c:pt>
                <c:pt idx="2">
                  <c:v>-16308.16852255431</c:v>
                </c:pt>
                <c:pt idx="3">
                  <c:v>-15748.72701745327</c:v>
                </c:pt>
                <c:pt idx="4">
                  <c:v>-15189.28551235222</c:v>
                </c:pt>
                <c:pt idx="5">
                  <c:v>-14629.84400725117</c:v>
                </c:pt>
                <c:pt idx="6">
                  <c:v>-14070.40250215012</c:v>
                </c:pt>
                <c:pt idx="7">
                  <c:v>-13510.96099704909</c:v>
                </c:pt>
                <c:pt idx="8">
                  <c:v>-12951.51949194804</c:v>
                </c:pt>
                <c:pt idx="9">
                  <c:v>-12392.077986847</c:v>
                </c:pt>
                <c:pt idx="10">
                  <c:v>-11832.63648174596</c:v>
                </c:pt>
                <c:pt idx="11">
                  <c:v>-11273.19497664491</c:v>
                </c:pt>
                <c:pt idx="12">
                  <c:v>-10713.75347154386</c:v>
                </c:pt>
                <c:pt idx="13">
                  <c:v>-10154.31196644283</c:v>
                </c:pt>
                <c:pt idx="14">
                  <c:v>-9594.870461341783</c:v>
                </c:pt>
                <c:pt idx="15">
                  <c:v>-9035.428956240738</c:v>
                </c:pt>
                <c:pt idx="16">
                  <c:v>-8475.987451139704</c:v>
                </c:pt>
                <c:pt idx="17">
                  <c:v>-7916.545946038651</c:v>
                </c:pt>
                <c:pt idx="18">
                  <c:v>-7357.104440937607</c:v>
                </c:pt>
                <c:pt idx="19">
                  <c:v>-6797.662935836556</c:v>
                </c:pt>
                <c:pt idx="20">
                  <c:v>-6238.221430735527</c:v>
                </c:pt>
              </c:numCache>
            </c:numRef>
          </c:yVal>
          <c:smooth val="0"/>
        </c:ser>
        <c:ser>
          <c:idx val="5"/>
          <c:order val="5"/>
          <c:tx>
            <c:strRef>
              <c:f>'2'!$AA$28</c:f>
              <c:strCache>
                <c:ptCount val="1"/>
                <c:pt idx="0">
                  <c:v>Benefits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'2'!$AB$29:$AB$49</c:f>
              <c:numCache>
                <c:formatCode>"$"#,##0_);[Red]\("$"#,##0\)</c:formatCode>
                <c:ptCount val="21"/>
                <c:pt idx="0">
                  <c:v>-4234.766076175734</c:v>
                </c:pt>
                <c:pt idx="1">
                  <c:v>-4994.553116732757</c:v>
                </c:pt>
                <c:pt idx="2">
                  <c:v>-5754.340157289778</c:v>
                </c:pt>
                <c:pt idx="3">
                  <c:v>-6514.1271978468</c:v>
                </c:pt>
                <c:pt idx="4">
                  <c:v>-7273.914238403818</c:v>
                </c:pt>
                <c:pt idx="5">
                  <c:v>-8033.701278960842</c:v>
                </c:pt>
                <c:pt idx="6">
                  <c:v>-8793.488319517879</c:v>
                </c:pt>
                <c:pt idx="7">
                  <c:v>-9553.275360074903</c:v>
                </c:pt>
                <c:pt idx="8">
                  <c:v>-10313.06240063192</c:v>
                </c:pt>
                <c:pt idx="9">
                  <c:v>-11072.84944118895</c:v>
                </c:pt>
                <c:pt idx="10">
                  <c:v>-11832.63648174596</c:v>
                </c:pt>
                <c:pt idx="11">
                  <c:v>-12592.42352230298</c:v>
                </c:pt>
                <c:pt idx="12">
                  <c:v>-13352.21056286001</c:v>
                </c:pt>
                <c:pt idx="13">
                  <c:v>-14111.99760341704</c:v>
                </c:pt>
                <c:pt idx="14">
                  <c:v>-14871.78464397405</c:v>
                </c:pt>
                <c:pt idx="15">
                  <c:v>-15631.57168453109</c:v>
                </c:pt>
                <c:pt idx="16">
                  <c:v>-16391.3587250881</c:v>
                </c:pt>
                <c:pt idx="17">
                  <c:v>-17151.14576564513</c:v>
                </c:pt>
                <c:pt idx="18">
                  <c:v>-17910.93280620215</c:v>
                </c:pt>
                <c:pt idx="19">
                  <c:v>-18670.71984675916</c:v>
                </c:pt>
                <c:pt idx="20">
                  <c:v>-19430.5068873162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'2'!$AC$28</c:f>
              <c:strCache>
                <c:ptCount val="1"/>
                <c:pt idx="0">
                  <c:v>2009 Assets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'2'!$AD$29:$AD$49</c:f>
              <c:numCache>
                <c:formatCode>"$"#,##0_);[Red]\("$"#,##0\)</c:formatCode>
                <c:ptCount val="21"/>
                <c:pt idx="0">
                  <c:v>-12652.82818813116</c:v>
                </c:pt>
                <c:pt idx="1">
                  <c:v>-12570.80901749263</c:v>
                </c:pt>
                <c:pt idx="2">
                  <c:v>-12488.78984685411</c:v>
                </c:pt>
                <c:pt idx="3">
                  <c:v>-12406.7706762156</c:v>
                </c:pt>
                <c:pt idx="4">
                  <c:v>-12324.75150557708</c:v>
                </c:pt>
                <c:pt idx="5">
                  <c:v>-12242.73233493856</c:v>
                </c:pt>
                <c:pt idx="6">
                  <c:v>-12160.71316430004</c:v>
                </c:pt>
                <c:pt idx="7">
                  <c:v>-12078.69399366152</c:v>
                </c:pt>
                <c:pt idx="8">
                  <c:v>-11996.674823023</c:v>
                </c:pt>
                <c:pt idx="9">
                  <c:v>-11914.65565238448</c:v>
                </c:pt>
                <c:pt idx="10">
                  <c:v>-11832.63648174596</c:v>
                </c:pt>
                <c:pt idx="11">
                  <c:v>-11750.61731110744</c:v>
                </c:pt>
                <c:pt idx="12">
                  <c:v>-11668.59814046892</c:v>
                </c:pt>
                <c:pt idx="13">
                  <c:v>-11586.5789698304</c:v>
                </c:pt>
                <c:pt idx="14">
                  <c:v>-11504.55979919189</c:v>
                </c:pt>
                <c:pt idx="15">
                  <c:v>-11422.54062855336</c:v>
                </c:pt>
                <c:pt idx="16">
                  <c:v>-11340.52145791485</c:v>
                </c:pt>
                <c:pt idx="17">
                  <c:v>-11258.50228727633</c:v>
                </c:pt>
                <c:pt idx="18">
                  <c:v>-11176.48311663781</c:v>
                </c:pt>
                <c:pt idx="19">
                  <c:v>-11094.46394599929</c:v>
                </c:pt>
                <c:pt idx="20">
                  <c:v>-11012.44477536077</c:v>
                </c:pt>
              </c:numCache>
            </c:numRef>
          </c:yVal>
          <c:smooth val="0"/>
        </c:ser>
        <c:ser>
          <c:idx val="7"/>
          <c:order val="7"/>
          <c:tx>
            <c:strRef>
              <c:f>'2'!$AE$28</c:f>
              <c:strCache>
                <c:ptCount val="1"/>
                <c:pt idx="0">
                  <c:v>Rate of Return</c:v>
                </c:pt>
              </c:strCache>
            </c:strRef>
          </c:tx>
          <c:marker>
            <c:symbol val="none"/>
          </c:marker>
          <c:xVal>
            <c:numRef>
              <c:f>'2'!$P$29:$P$49</c:f>
              <c:numCache>
                <c:formatCode>0%</c:formatCode>
                <c:ptCount val="21"/>
                <c:pt idx="0">
                  <c:v>-0.1</c:v>
                </c:pt>
                <c:pt idx="1">
                  <c:v>-0.09</c:v>
                </c:pt>
                <c:pt idx="2">
                  <c:v>-0.08</c:v>
                </c:pt>
                <c:pt idx="3">
                  <c:v>-0.07</c:v>
                </c:pt>
                <c:pt idx="4">
                  <c:v>-0.06</c:v>
                </c:pt>
                <c:pt idx="5">
                  <c:v>-0.05</c:v>
                </c:pt>
                <c:pt idx="6">
                  <c:v>-0.0399999999999999</c:v>
                </c:pt>
                <c:pt idx="7">
                  <c:v>-0.0299999999999999</c:v>
                </c:pt>
                <c:pt idx="8">
                  <c:v>-0.0199999999999999</c:v>
                </c:pt>
                <c:pt idx="9">
                  <c:v>-0.00999999999999991</c:v>
                </c:pt>
                <c:pt idx="10">
                  <c:v>0.0</c:v>
                </c:pt>
                <c:pt idx="11">
                  <c:v>0.01</c:v>
                </c:pt>
                <c:pt idx="12">
                  <c:v>0.02</c:v>
                </c:pt>
                <c:pt idx="13">
                  <c:v>0.03</c:v>
                </c:pt>
                <c:pt idx="14">
                  <c:v>0.04</c:v>
                </c:pt>
                <c:pt idx="15">
                  <c:v>0.05</c:v>
                </c:pt>
                <c:pt idx="16">
                  <c:v>0.06</c:v>
                </c:pt>
                <c:pt idx="17">
                  <c:v>0.07</c:v>
                </c:pt>
                <c:pt idx="18">
                  <c:v>0.08</c:v>
                </c:pt>
                <c:pt idx="19">
                  <c:v>0.09</c:v>
                </c:pt>
                <c:pt idx="20">
                  <c:v>0.1</c:v>
                </c:pt>
              </c:numCache>
            </c:numRef>
          </c:xVal>
          <c:yVal>
            <c:numRef>
              <c:f>'2'!$AF$29:$AF$49</c:f>
              <c:numCache>
                <c:formatCode>"$"#,##0_);[Red]\("$"#,##0\)</c:formatCode>
                <c:ptCount val="21"/>
                <c:pt idx="0">
                  <c:v>-11787.46285816657</c:v>
                </c:pt>
                <c:pt idx="1">
                  <c:v>-11793.86199254702</c:v>
                </c:pt>
                <c:pt idx="2">
                  <c:v>-11799.86150466301</c:v>
                </c:pt>
                <c:pt idx="3">
                  <c:v>-11805.45459311818</c:v>
                </c:pt>
                <c:pt idx="4">
                  <c:v>-11810.63436939109</c:v>
                </c:pt>
                <c:pt idx="5">
                  <c:v>-11815.39385683429</c:v>
                </c:pt>
                <c:pt idx="6">
                  <c:v>-11819.72598966283</c:v>
                </c:pt>
                <c:pt idx="7">
                  <c:v>-11823.62361193165</c:v>
                </c:pt>
                <c:pt idx="8">
                  <c:v>-11827.07947650206</c:v>
                </c:pt>
                <c:pt idx="9">
                  <c:v>-11830.08624399717</c:v>
                </c:pt>
                <c:pt idx="10">
                  <c:v>-11832.63648174596</c:v>
                </c:pt>
                <c:pt idx="11">
                  <c:v>-11834.72266271607</c:v>
                </c:pt>
                <c:pt idx="12">
                  <c:v>-11836.33716443512</c:v>
                </c:pt>
                <c:pt idx="13">
                  <c:v>-11837.47226790041</c:v>
                </c:pt>
                <c:pt idx="14">
                  <c:v>-11838.12015647696</c:v>
                </c:pt>
                <c:pt idx="15">
                  <c:v>-11838.27291478372</c:v>
                </c:pt>
                <c:pt idx="16">
                  <c:v>-11837.92252756783</c:v>
                </c:pt>
                <c:pt idx="17">
                  <c:v>-11837.06087856676</c:v>
                </c:pt>
                <c:pt idx="18">
                  <c:v>-11835.67974935838</c:v>
                </c:pt>
                <c:pt idx="19">
                  <c:v>-11833.77081819862</c:v>
                </c:pt>
                <c:pt idx="20">
                  <c:v>-11831.32565884671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9864968"/>
        <c:axId val="479871896"/>
      </c:scatterChart>
      <c:valAx>
        <c:axId val="479864968"/>
        <c:scaling>
          <c:orientation val="minMax"/>
          <c:max val="0.1"/>
          <c:min val="-0.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 Change from Baseline Values</a:t>
                </a:r>
              </a:p>
            </c:rich>
          </c:tx>
          <c:layout>
            <c:manualLayout>
              <c:xMode val="edge"/>
              <c:yMode val="edge"/>
              <c:x val="0.256932424731312"/>
              <c:y val="0.878571428571429"/>
            </c:manualLayout>
          </c:layout>
          <c:overlay val="0"/>
        </c:title>
        <c:numFmt formatCode="0%" sourceLinked="1"/>
        <c:majorTickMark val="out"/>
        <c:minorTickMark val="none"/>
        <c:tickLblPos val="nextTo"/>
        <c:crossAx val="479871896"/>
        <c:crossesAt val="-20000.0"/>
        <c:crossBetween val="midCat"/>
      </c:valAx>
      <c:valAx>
        <c:axId val="479871896"/>
        <c:scaling>
          <c:orientation val="minMax"/>
          <c:max val="-4000.0"/>
          <c:min val="-20000.0"/>
        </c:scaling>
        <c:delete val="0"/>
        <c:axPos val="l"/>
        <c:majorGridlines/>
        <c:numFmt formatCode="&quot;$&quot;#,##0_);[Red]\(&quot;$&quot;#,##0\)" sourceLinked="1"/>
        <c:majorTickMark val="out"/>
        <c:minorTickMark val="none"/>
        <c:tickLblPos val="nextTo"/>
        <c:crossAx val="479864968"/>
        <c:crossesAt val="-0.1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5" right="0.75" top="1" bottom="1" header="0.5" footer="0.5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69919" cy="582341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F21" sqref="F21"/>
    </sheetView>
  </sheetViews>
  <sheetFormatPr baseColWidth="10" defaultRowHeight="15" x14ac:dyDescent="0"/>
  <cols>
    <col min="3" max="3" width="11" bestFit="1" customWidth="1"/>
  </cols>
  <sheetData>
    <row r="1" spans="1:3">
      <c r="A1" s="28" t="s">
        <v>58</v>
      </c>
      <c r="B1" t="s">
        <v>29</v>
      </c>
      <c r="C1" t="s">
        <v>62</v>
      </c>
    </row>
    <row r="2" spans="1:3">
      <c r="C2" s="35">
        <f>PMT(12%/4,10*4,-100000)</f>
        <v>4326.2377890462876</v>
      </c>
    </row>
    <row r="3" spans="1:3">
      <c r="C3" t="s">
        <v>63</v>
      </c>
    </row>
    <row r="4" spans="1:3">
      <c r="C4" s="35">
        <f>PV(12%/4,5*4,-C2)</f>
        <v>64363.493946888739</v>
      </c>
    </row>
    <row r="5" spans="1:3">
      <c r="B5" t="s">
        <v>31</v>
      </c>
      <c r="C5" s="35" t="s">
        <v>64</v>
      </c>
    </row>
    <row r="6" spans="1:3">
      <c r="C6" s="35">
        <f>1.05*C4</f>
        <v>67581.668644233185</v>
      </c>
    </row>
    <row r="7" spans="1:3">
      <c r="C7" s="35" t="s">
        <v>65</v>
      </c>
    </row>
    <row r="8" spans="1:3">
      <c r="C8" s="35">
        <f>PMT(8%/4,20*4,-C6)</f>
        <v>1700.4024590302768</v>
      </c>
    </row>
    <row r="9" spans="1:3">
      <c r="C9" s="35" t="s">
        <v>66</v>
      </c>
    </row>
    <row r="10" spans="1:3">
      <c r="C10" s="35">
        <f>C2-C8</f>
        <v>2625.8353300160106</v>
      </c>
    </row>
    <row r="11" spans="1:3">
      <c r="C11" s="35" t="s">
        <v>67</v>
      </c>
    </row>
    <row r="12" spans="1:3">
      <c r="C12" s="35"/>
    </row>
    <row r="13" spans="1:3">
      <c r="A13" s="28" t="s">
        <v>59</v>
      </c>
      <c r="B13" t="s">
        <v>29</v>
      </c>
      <c r="C13" t="s">
        <v>60</v>
      </c>
    </row>
    <row r="14" spans="1:3">
      <c r="B14" t="s">
        <v>31</v>
      </c>
      <c r="C14" t="s">
        <v>61</v>
      </c>
    </row>
    <row r="15" spans="1:3">
      <c r="C15" s="34">
        <v>40746</v>
      </c>
    </row>
    <row r="16" spans="1:3">
      <c r="B16" t="s">
        <v>33</v>
      </c>
      <c r="C16" s="34">
        <v>38387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F55"/>
  <sheetViews>
    <sheetView tabSelected="1" workbookViewId="0">
      <pane xSplit="1" ySplit="3" topLeftCell="B9" activePane="bottomRight" state="frozen"/>
      <selection pane="topRight" activeCell="B1" sqref="B1"/>
      <selection pane="bottomLeft" activeCell="A3" sqref="A3"/>
      <selection pane="bottomRight" activeCell="Q30" sqref="Q30"/>
    </sheetView>
  </sheetViews>
  <sheetFormatPr baseColWidth="10" defaultColWidth="9.6640625" defaultRowHeight="15" x14ac:dyDescent="0"/>
  <cols>
    <col min="1" max="1" width="9.6640625" style="1" customWidth="1"/>
    <col min="2" max="7" width="9.6640625" style="12" customWidth="1"/>
    <col min="8" max="8" width="8.83203125" style="1" customWidth="1"/>
    <col min="9" max="9" width="9.6640625" style="2" customWidth="1"/>
    <col min="10" max="10" width="9.6640625" style="3" customWidth="1"/>
    <col min="11" max="11" width="9.6640625" style="13" customWidth="1"/>
    <col min="12" max="13" width="9.6640625" style="14" customWidth="1"/>
    <col min="14" max="15" width="9.6640625" style="1"/>
    <col min="16" max="16" width="11.33203125" style="1" customWidth="1"/>
    <col min="17" max="17" width="13.6640625" style="1" customWidth="1"/>
    <col min="18" max="18" width="9.6640625" style="1"/>
    <col min="19" max="19" width="14" style="1" customWidth="1"/>
    <col min="20" max="20" width="9.6640625" style="1"/>
    <col min="21" max="21" width="11.33203125" style="1" customWidth="1"/>
    <col min="22" max="24" width="9.6640625" style="1"/>
    <col min="25" max="25" width="11.1640625" style="1" customWidth="1"/>
    <col min="26" max="16384" width="9.6640625" style="1"/>
  </cols>
  <sheetData>
    <row r="1" spans="1:17">
      <c r="B1" s="36" t="s">
        <v>0</v>
      </c>
      <c r="C1" s="36"/>
      <c r="D1" s="36"/>
      <c r="E1" s="36"/>
      <c r="F1" s="36"/>
      <c r="G1" s="36"/>
      <c r="H1" s="37"/>
      <c r="K1" s="38" t="s">
        <v>1</v>
      </c>
      <c r="L1" s="38"/>
      <c r="M1" s="38"/>
      <c r="N1" s="38"/>
      <c r="O1" s="4"/>
    </row>
    <row r="2" spans="1:17" s="5" customFormat="1">
      <c r="B2" s="39" t="s">
        <v>2</v>
      </c>
      <c r="C2" s="39"/>
      <c r="D2" s="39"/>
      <c r="E2" s="39" t="s">
        <v>3</v>
      </c>
      <c r="F2" s="39"/>
      <c r="G2" s="6"/>
      <c r="H2" s="5" t="s">
        <v>4</v>
      </c>
      <c r="I2" s="7" t="s">
        <v>5</v>
      </c>
      <c r="J2" s="8" t="s">
        <v>6</v>
      </c>
      <c r="K2" s="9" t="s">
        <v>7</v>
      </c>
      <c r="L2" s="10" t="s">
        <v>7</v>
      </c>
      <c r="M2" s="10" t="s">
        <v>8</v>
      </c>
      <c r="N2" s="5" t="s">
        <v>9</v>
      </c>
    </row>
    <row r="3" spans="1:17" s="5" customFormat="1">
      <c r="A3" s="5" t="s">
        <v>10</v>
      </c>
      <c r="B3" s="11" t="s">
        <v>11</v>
      </c>
      <c r="C3" s="11" t="s">
        <v>12</v>
      </c>
      <c r="D3" s="11" t="s">
        <v>13</v>
      </c>
      <c r="E3" s="11" t="s">
        <v>11</v>
      </c>
      <c r="F3" s="11" t="s">
        <v>12</v>
      </c>
      <c r="G3" s="11" t="s">
        <v>14</v>
      </c>
      <c r="H3" s="5" t="s">
        <v>15</v>
      </c>
      <c r="I3" s="7" t="s">
        <v>16</v>
      </c>
      <c r="J3" s="8" t="s">
        <v>17</v>
      </c>
      <c r="K3" s="9" t="s">
        <v>18</v>
      </c>
      <c r="L3" s="10" t="s">
        <v>15</v>
      </c>
      <c r="M3" s="10" t="s">
        <v>19</v>
      </c>
      <c r="N3" s="5" t="s">
        <v>20</v>
      </c>
    </row>
    <row r="4" spans="1:17">
      <c r="A4" s="1">
        <v>2010</v>
      </c>
      <c r="B4" s="12">
        <v>194.78700000000001</v>
      </c>
      <c r="C4" s="12">
        <f t="shared" ref="C4:C44" si="0">youngpop*youngworkrate</f>
        <v>149.40162900000001</v>
      </c>
      <c r="D4" s="12">
        <f t="shared" ref="D4:D44" si="1">youngpop*disabilityrate</f>
        <v>11.829220585690388</v>
      </c>
      <c r="E4" s="12">
        <v>40.228999999999999</v>
      </c>
      <c r="F4" s="12">
        <f t="shared" ref="F4:F44" si="2">oldpop*oldworkrate</f>
        <v>4.5056479999999999</v>
      </c>
      <c r="G4" s="12">
        <f t="shared" ref="G4:G44" si="3">youngworkers+oldworkers</f>
        <v>153.90727700000002</v>
      </c>
      <c r="H4" s="12">
        <f t="shared" ref="H4:H44" si="4">disabled+oldpop</f>
        <v>52.058220585690385</v>
      </c>
      <c r="I4" s="13">
        <f t="shared" ref="I4:I44" si="5">taxrate*average_earnings</f>
        <v>4276.9883541318159</v>
      </c>
      <c r="J4" s="14">
        <f t="shared" ref="J4:J44" si="6">average_benefits</f>
        <v>13025.453143077517</v>
      </c>
      <c r="K4" s="15">
        <f t="shared" ref="K4:K44" si="7">workers*tax_each/1000</f>
        <v>658.25963134513961</v>
      </c>
      <c r="L4" s="16">
        <f t="shared" ref="L4:L44" si="8">beneficiaries*benefit_each/1000</f>
        <v>678.08191295090353</v>
      </c>
      <c r="M4" s="17">
        <f t="shared" ref="M4:M44" si="9">totaltaxes-totalbenefits</f>
        <v>-19.822281605763919</v>
      </c>
      <c r="N4" s="17">
        <f>assets2009*(1+return)+cashflow</f>
        <v>2594.1464183942362</v>
      </c>
      <c r="P4" s="18">
        <v>0.76700000000000002</v>
      </c>
      <c r="Q4" s="1" t="s">
        <v>21</v>
      </c>
    </row>
    <row r="5" spans="1:17">
      <c r="A5" s="1">
        <v>2011</v>
      </c>
      <c r="B5" s="12">
        <f>B4*((B9/B4)^(1/5))</f>
        <v>195.93537924744754</v>
      </c>
      <c r="C5" s="12">
        <f t="shared" si="0"/>
        <v>150.28243588279227</v>
      </c>
      <c r="D5" s="12">
        <f t="shared" si="1"/>
        <v>11.898960514094675</v>
      </c>
      <c r="E5" s="12">
        <f>E4*((E9/E4)^(1/5))</f>
        <v>41.471448422174774</v>
      </c>
      <c r="F5" s="12">
        <f t="shared" si="2"/>
        <v>4.6448022232835751</v>
      </c>
      <c r="G5" s="12">
        <f t="shared" si="3"/>
        <v>154.92723810607583</v>
      </c>
      <c r="H5" s="12">
        <f t="shared" si="4"/>
        <v>53.370408936269449</v>
      </c>
      <c r="I5" s="13">
        <f t="shared" si="5"/>
        <v>4276.9883541318159</v>
      </c>
      <c r="J5" s="14">
        <f t="shared" si="6"/>
        <v>13025.453143077517</v>
      </c>
      <c r="K5" s="15">
        <f t="shared" si="7"/>
        <v>662.62199311749328</v>
      </c>
      <c r="L5" s="16">
        <f t="shared" si="8"/>
        <v>695.17376082626333</v>
      </c>
      <c r="M5" s="17">
        <f t="shared" si="9"/>
        <v>-32.551767708770058</v>
      </c>
      <c r="N5" s="17">
        <f t="shared" ref="N5:N44" si="10">N4*(1+return)+cashflow</f>
        <v>2636.8248968188987</v>
      </c>
      <c r="P5" s="18">
        <v>0.112</v>
      </c>
      <c r="Q5" s="1" t="s">
        <v>22</v>
      </c>
    </row>
    <row r="6" spans="1:17">
      <c r="A6" s="1">
        <v>2012</v>
      </c>
      <c r="B6" s="12">
        <f>B4*((B9/B4)^(2/5))</f>
        <v>197.09052883837774</v>
      </c>
      <c r="C6" s="12">
        <f t="shared" si="0"/>
        <v>151.16843561903573</v>
      </c>
      <c r="D6" s="12">
        <f t="shared" si="1"/>
        <v>11.969111598718307</v>
      </c>
      <c r="E6" s="12">
        <f>E4*((E9/E4)^(2/5))</f>
        <v>42.75226911514337</v>
      </c>
      <c r="F6" s="12">
        <f t="shared" si="2"/>
        <v>4.7882541408960577</v>
      </c>
      <c r="G6" s="12">
        <f t="shared" si="3"/>
        <v>155.95668975993181</v>
      </c>
      <c r="H6" s="12">
        <f t="shared" si="4"/>
        <v>54.721380713861677</v>
      </c>
      <c r="I6" s="13">
        <f t="shared" si="5"/>
        <v>4276.9883541318159</v>
      </c>
      <c r="J6" s="14">
        <f t="shared" si="6"/>
        <v>13025.453143077517</v>
      </c>
      <c r="K6" s="15">
        <f t="shared" si="7"/>
        <v>667.02494585217698</v>
      </c>
      <c r="L6" s="16">
        <f t="shared" si="8"/>
        <v>712.77078041291099</v>
      </c>
      <c r="M6" s="17">
        <f t="shared" si="9"/>
        <v>-45.745834560734011</v>
      </c>
      <c r="N6" s="17">
        <f t="shared" si="10"/>
        <v>2667.5469842659122</v>
      </c>
      <c r="P6" s="19">
        <f>9475/156021</f>
        <v>6.0729004428890981E-2</v>
      </c>
      <c r="Q6" s="1" t="s">
        <v>23</v>
      </c>
    </row>
    <row r="7" spans="1:17">
      <c r="A7" s="1">
        <v>2013</v>
      </c>
      <c r="B7" s="12">
        <f>B4*((B9/B4)^(3/5))</f>
        <v>198.25248868778479</v>
      </c>
      <c r="C7" s="12">
        <f t="shared" si="0"/>
        <v>152.05965882353092</v>
      </c>
      <c r="D7" s="12">
        <f t="shared" si="1"/>
        <v>12.039676263559143</v>
      </c>
      <c r="E7" s="12">
        <f>E4*((E9/E4)^(3/5))</f>
        <v>44.072647183365326</v>
      </c>
      <c r="F7" s="12">
        <f t="shared" si="2"/>
        <v>4.9361364845369167</v>
      </c>
      <c r="G7" s="12">
        <f t="shared" si="3"/>
        <v>156.99579530806784</v>
      </c>
      <c r="H7" s="12">
        <f t="shared" si="4"/>
        <v>56.112323446924471</v>
      </c>
      <c r="I7" s="13">
        <f t="shared" si="5"/>
        <v>4276.9883541318159</v>
      </c>
      <c r="J7" s="14">
        <f t="shared" si="6"/>
        <v>13025.453143077517</v>
      </c>
      <c r="K7" s="15">
        <f t="shared" si="7"/>
        <v>671.46918818026847</v>
      </c>
      <c r="L7" s="16">
        <f t="shared" si="8"/>
        <v>730.88843980712454</v>
      </c>
      <c r="M7" s="17">
        <f t="shared" si="9"/>
        <v>-59.419251626856067</v>
      </c>
      <c r="N7" s="17">
        <f t="shared" si="10"/>
        <v>2685.4865951827678</v>
      </c>
      <c r="P7" s="18">
        <v>0.124</v>
      </c>
      <c r="Q7" s="1" t="s">
        <v>24</v>
      </c>
    </row>
    <row r="8" spans="1:17">
      <c r="A8" s="1">
        <v>2014</v>
      </c>
      <c r="B8" s="12">
        <f>B4*((B9/B4)^(4/5))</f>
        <v>199.42129894598412</v>
      </c>
      <c r="C8" s="12">
        <f t="shared" si="0"/>
        <v>152.95613629156983</v>
      </c>
      <c r="D8" s="12">
        <f t="shared" si="1"/>
        <v>12.110656946905863</v>
      </c>
      <c r="E8" s="12">
        <f>E4*((E9/E4)^(4/5))</f>
        <v>45.433804332537271</v>
      </c>
      <c r="F8" s="12">
        <f t="shared" si="2"/>
        <v>5.0885860852441747</v>
      </c>
      <c r="G8" s="12">
        <f t="shared" si="3"/>
        <v>158.04472237681401</v>
      </c>
      <c r="H8" s="12">
        <f t="shared" si="4"/>
        <v>57.544461279443134</v>
      </c>
      <c r="I8" s="13">
        <f t="shared" si="5"/>
        <v>4276.9883541318159</v>
      </c>
      <c r="J8" s="14">
        <f t="shared" si="6"/>
        <v>13025.453143077517</v>
      </c>
      <c r="K8" s="15">
        <f t="shared" si="7"/>
        <v>675.95543703762951</v>
      </c>
      <c r="L8" s="16">
        <f t="shared" si="8"/>
        <v>749.54268403902495</v>
      </c>
      <c r="M8" s="17">
        <f t="shared" si="9"/>
        <v>-73.58724700139544</v>
      </c>
      <c r="N8" s="17">
        <f t="shared" si="10"/>
        <v>2689.7784594416721</v>
      </c>
      <c r="P8" s="14">
        <f>(667300000000/156021000)/12.4%</f>
        <v>34491.841565579161</v>
      </c>
      <c r="Q8" s="1" t="s">
        <v>25</v>
      </c>
    </row>
    <row r="9" spans="1:17">
      <c r="A9" s="1">
        <v>2015</v>
      </c>
      <c r="B9" s="12">
        <v>200.59700000000001</v>
      </c>
      <c r="C9" s="12">
        <f t="shared" si="0"/>
        <v>153.857899</v>
      </c>
      <c r="D9" s="12">
        <f t="shared" si="1"/>
        <v>12.182056101422244</v>
      </c>
      <c r="E9" s="12">
        <v>46.837000000000003</v>
      </c>
      <c r="F9" s="12">
        <f t="shared" si="2"/>
        <v>5.2457440000000002</v>
      </c>
      <c r="G9" s="12">
        <f t="shared" si="3"/>
        <v>159.10364300000001</v>
      </c>
      <c r="H9" s="12">
        <f t="shared" si="4"/>
        <v>59.019056101422251</v>
      </c>
      <c r="I9" s="13">
        <f t="shared" si="5"/>
        <v>4276.9883541318159</v>
      </c>
      <c r="J9" s="14">
        <f t="shared" si="6"/>
        <v>13025.453143077517</v>
      </c>
      <c r="K9" s="15">
        <f t="shared" si="7"/>
        <v>680.48442821094602</v>
      </c>
      <c r="L9" s="16">
        <f t="shared" si="8"/>
        <v>768.74994979773885</v>
      </c>
      <c r="M9" s="17">
        <f t="shared" si="9"/>
        <v>-88.265521586792829</v>
      </c>
      <c r="N9" s="17">
        <f t="shared" si="10"/>
        <v>2679.5165131786871</v>
      </c>
      <c r="P9" s="20">
        <f>675500000000/51860000</f>
        <v>13025.453143077517</v>
      </c>
      <c r="Q9" s="1" t="s">
        <v>26</v>
      </c>
    </row>
    <row r="10" spans="1:17">
      <c r="A10" s="1">
        <v>2016</v>
      </c>
      <c r="B10" s="12">
        <f>B9*((B14/B9)^(1/5))</f>
        <v>201.44971945238765</v>
      </c>
      <c r="C10" s="12">
        <f t="shared" si="0"/>
        <v>154.51193481998132</v>
      </c>
      <c r="D10" s="12">
        <f t="shared" si="1"/>
        <v>12.233840904822896</v>
      </c>
      <c r="E10" s="12">
        <f>E9*((E14/E9)^(1/5))</f>
        <v>48.33188210476159</v>
      </c>
      <c r="F10" s="12">
        <f t="shared" si="2"/>
        <v>5.413170795733298</v>
      </c>
      <c r="G10" s="12">
        <f t="shared" si="3"/>
        <v>159.92510561571461</v>
      </c>
      <c r="H10" s="12">
        <f t="shared" si="4"/>
        <v>60.565723009584488</v>
      </c>
      <c r="I10" s="13">
        <f t="shared" si="5"/>
        <v>4276.9883541318159</v>
      </c>
      <c r="J10" s="14">
        <f t="shared" si="6"/>
        <v>13025.453143077517</v>
      </c>
      <c r="K10" s="15">
        <f t="shared" si="7"/>
        <v>683.99781425171204</v>
      </c>
      <c r="L10" s="16">
        <f t="shared" si="8"/>
        <v>788.89598713795453</v>
      </c>
      <c r="M10" s="17">
        <f t="shared" si="9"/>
        <v>-104.89817288624249</v>
      </c>
      <c r="N10" s="17">
        <f t="shared" si="10"/>
        <v>2652.324319174626</v>
      </c>
      <c r="P10" s="14">
        <v>2540.3000000000002</v>
      </c>
      <c r="Q10" s="1" t="s">
        <v>27</v>
      </c>
    </row>
    <row r="11" spans="1:17">
      <c r="A11" s="1">
        <v>2017</v>
      </c>
      <c r="B11" s="12">
        <f>B9*((B14/B9)^(2/5))</f>
        <v>202.30606373697358</v>
      </c>
      <c r="C11" s="12">
        <f t="shared" si="0"/>
        <v>155.16875088625875</v>
      </c>
      <c r="D11" s="12">
        <f t="shared" si="1"/>
        <v>12.28584584067417</v>
      </c>
      <c r="E11" s="12">
        <f>E9*((E14/E9)^(2/5))</f>
        <v>49.874475901286878</v>
      </c>
      <c r="F11" s="12">
        <f t="shared" si="2"/>
        <v>5.5859413009441301</v>
      </c>
      <c r="G11" s="12">
        <f t="shared" si="3"/>
        <v>160.75469218720289</v>
      </c>
      <c r="H11" s="12">
        <f t="shared" si="4"/>
        <v>62.160321741961049</v>
      </c>
      <c r="I11" s="13">
        <f t="shared" si="5"/>
        <v>4276.9883541318159</v>
      </c>
      <c r="J11" s="14">
        <f t="shared" si="6"/>
        <v>13025.453143077517</v>
      </c>
      <c r="K11" s="15">
        <f t="shared" si="7"/>
        <v>687.54594635671151</v>
      </c>
      <c r="L11" s="16">
        <f t="shared" si="8"/>
        <v>809.66635820853628</v>
      </c>
      <c r="M11" s="17">
        <f t="shared" si="9"/>
        <v>-122.12041185182477</v>
      </c>
      <c r="N11" s="17">
        <f t="shared" si="10"/>
        <v>2607.1213125788649</v>
      </c>
      <c r="P11" s="19">
        <v>2.9000000000000001E-2</v>
      </c>
      <c r="Q11" s="1" t="s">
        <v>28</v>
      </c>
    </row>
    <row r="12" spans="1:17">
      <c r="A12" s="1">
        <v>2018</v>
      </c>
      <c r="B12" s="12">
        <f>B9*((B14/B9)^(3/5))</f>
        <v>203.16604826258711</v>
      </c>
      <c r="C12" s="12">
        <f t="shared" si="0"/>
        <v>155.82835901740432</v>
      </c>
      <c r="D12" s="12">
        <f t="shared" si="1"/>
        <v>12.338071844738932</v>
      </c>
      <c r="E12" s="12">
        <f>E9*((E14/E9)^(3/5))</f>
        <v>51.466304188948271</v>
      </c>
      <c r="F12" s="12">
        <f t="shared" si="2"/>
        <v>5.7642260691622065</v>
      </c>
      <c r="G12" s="12">
        <f t="shared" si="3"/>
        <v>161.59258508656654</v>
      </c>
      <c r="H12" s="12">
        <f t="shared" si="4"/>
        <v>63.804376033687205</v>
      </c>
      <c r="I12" s="13">
        <f t="shared" si="5"/>
        <v>4276.9883541318159</v>
      </c>
      <c r="J12" s="14">
        <f t="shared" si="6"/>
        <v>13025.453143077517</v>
      </c>
      <c r="K12" s="15">
        <f t="shared" si="7"/>
        <v>691.12960452929963</v>
      </c>
      <c r="L12" s="16">
        <f t="shared" si="8"/>
        <v>831.08091035009079</v>
      </c>
      <c r="M12" s="17">
        <f t="shared" si="9"/>
        <v>-139.95130582079116</v>
      </c>
      <c r="N12" s="17">
        <f t="shared" si="10"/>
        <v>2542.7765248228607</v>
      </c>
    </row>
    <row r="13" spans="1:17">
      <c r="A13" s="1">
        <v>2019</v>
      </c>
      <c r="B13" s="12">
        <f>B9*((B14/B9)^(4/5))</f>
        <v>204.02968850355899</v>
      </c>
      <c r="C13" s="12">
        <f t="shared" si="0"/>
        <v>156.49077108222974</v>
      </c>
      <c r="D13" s="12">
        <f t="shared" si="1"/>
        <v>12.390519856757882</v>
      </c>
      <c r="E13" s="12">
        <f>E9*((E14/E9)^(4/5))</f>
        <v>53.108938369836771</v>
      </c>
      <c r="F13" s="12">
        <f t="shared" si="2"/>
        <v>5.9482010974217188</v>
      </c>
      <c r="G13" s="12">
        <f t="shared" si="3"/>
        <v>162.43897217965147</v>
      </c>
      <c r="H13" s="12">
        <f t="shared" si="4"/>
        <v>65.499458226594655</v>
      </c>
      <c r="I13" s="13">
        <f t="shared" si="5"/>
        <v>4276.9883541318159</v>
      </c>
      <c r="J13" s="14">
        <f t="shared" si="6"/>
        <v>13025.453143077517</v>
      </c>
      <c r="K13" s="15">
        <f t="shared" si="7"/>
        <v>694.74959226951148</v>
      </c>
      <c r="L13" s="16">
        <f t="shared" si="8"/>
        <v>853.16012402747185</v>
      </c>
      <c r="M13" s="17">
        <f t="shared" si="9"/>
        <v>-158.41053175796037</v>
      </c>
      <c r="N13" s="17">
        <f t="shared" si="10"/>
        <v>2458.1065122847631</v>
      </c>
      <c r="P13" s="30" t="s">
        <v>29</v>
      </c>
      <c r="Q13" s="30" t="s">
        <v>30</v>
      </c>
    </row>
    <row r="14" spans="1:17">
      <c r="A14" s="1">
        <v>2020</v>
      </c>
      <c r="B14" s="12">
        <v>204.89699999999999</v>
      </c>
      <c r="C14" s="12">
        <f t="shared" si="0"/>
        <v>157.15599900000001</v>
      </c>
      <c r="D14" s="12">
        <f t="shared" si="1"/>
        <v>12.443190820466475</v>
      </c>
      <c r="E14" s="12">
        <v>54.804000000000002</v>
      </c>
      <c r="F14" s="12">
        <f t="shared" si="2"/>
        <v>6.1380480000000004</v>
      </c>
      <c r="G14" s="12">
        <f t="shared" si="3"/>
        <v>163.29404700000001</v>
      </c>
      <c r="H14" s="12">
        <f t="shared" si="4"/>
        <v>67.247190820466471</v>
      </c>
      <c r="I14" s="13">
        <f t="shared" si="5"/>
        <v>4276.9883541318159</v>
      </c>
      <c r="J14" s="14">
        <f t="shared" si="6"/>
        <v>13025.453143077517</v>
      </c>
      <c r="K14" s="15">
        <f t="shared" si="7"/>
        <v>698.40673731805339</v>
      </c>
      <c r="L14" s="16">
        <f t="shared" si="8"/>
        <v>875.92513303557848</v>
      </c>
      <c r="M14" s="17">
        <f t="shared" si="9"/>
        <v>-177.5183957175251</v>
      </c>
      <c r="N14" s="17">
        <f t="shared" si="10"/>
        <v>2351.8732054234961</v>
      </c>
      <c r="P14" s="30" t="s">
        <v>31</v>
      </c>
      <c r="Q14" s="30" t="s">
        <v>32</v>
      </c>
    </row>
    <row r="15" spans="1:17">
      <c r="A15" s="1">
        <v>2021</v>
      </c>
      <c r="B15" s="12">
        <f>B14*((B19/B14)^(1/5))</f>
        <v>205.64767929689069</v>
      </c>
      <c r="C15" s="12">
        <f t="shared" si="0"/>
        <v>157.73177002071515</v>
      </c>
      <c r="D15" s="12">
        <f t="shared" si="1"/>
        <v>12.488778826812027</v>
      </c>
      <c r="E15" s="12">
        <f>E14*((E19/E14)^(1/5))</f>
        <v>56.514448295346376</v>
      </c>
      <c r="F15" s="12">
        <f t="shared" si="2"/>
        <v>6.3296182090787942</v>
      </c>
      <c r="G15" s="12">
        <f t="shared" si="3"/>
        <v>164.06138822979395</v>
      </c>
      <c r="H15" s="12">
        <f t="shared" si="4"/>
        <v>69.003227122158407</v>
      </c>
      <c r="I15" s="13">
        <f t="shared" si="5"/>
        <v>4276.9883541318159</v>
      </c>
      <c r="J15" s="14">
        <f t="shared" si="6"/>
        <v>13025.453143077517</v>
      </c>
      <c r="K15" s="15">
        <f t="shared" si="7"/>
        <v>701.6886468215273</v>
      </c>
      <c r="L15" s="16">
        <f t="shared" si="8"/>
        <v>898.79830160081008</v>
      </c>
      <c r="M15" s="17">
        <f t="shared" si="9"/>
        <v>-197.10965477928278</v>
      </c>
      <c r="N15" s="17">
        <f t="shared" si="10"/>
        <v>2222.9678736014944</v>
      </c>
      <c r="P15" s="30" t="s">
        <v>33</v>
      </c>
      <c r="Q15" s="30" t="s">
        <v>57</v>
      </c>
    </row>
    <row r="16" spans="1:17">
      <c r="A16" s="1">
        <v>2022</v>
      </c>
      <c r="B16" s="12">
        <f>B14*((B19/B14)^(2/5))</f>
        <v>206.40110885077283</v>
      </c>
      <c r="C16" s="12">
        <f t="shared" si="0"/>
        <v>158.30965048854276</v>
      </c>
      <c r="D16" s="12">
        <f t="shared" si="1"/>
        <v>12.534533853526593</v>
      </c>
      <c r="E16" s="12">
        <f>E14*((E19/E14)^(2/5))</f>
        <v>58.278280164356225</v>
      </c>
      <c r="F16" s="12">
        <f t="shared" si="2"/>
        <v>6.5271673784078974</v>
      </c>
      <c r="G16" s="12">
        <f t="shared" si="3"/>
        <v>164.83681786695067</v>
      </c>
      <c r="H16" s="12">
        <f t="shared" si="4"/>
        <v>70.812814017882815</v>
      </c>
      <c r="I16" s="13">
        <f t="shared" si="5"/>
        <v>4276.9883541318159</v>
      </c>
      <c r="J16" s="14">
        <f t="shared" si="6"/>
        <v>13025.453143077517</v>
      </c>
      <c r="K16" s="15">
        <f t="shared" si="7"/>
        <v>705.00515034909517</v>
      </c>
      <c r="L16" s="16">
        <f t="shared" si="8"/>
        <v>922.3689909193954</v>
      </c>
      <c r="M16" s="17">
        <f t="shared" si="9"/>
        <v>-217.36384057030023</v>
      </c>
      <c r="N16" s="17">
        <f t="shared" si="10"/>
        <v>2070.0701013656371</v>
      </c>
    </row>
    <row r="17" spans="1:32">
      <c r="A17" s="1">
        <v>2023</v>
      </c>
      <c r="B17" s="12">
        <f>B14*((B19/B14)^(3/5))</f>
        <v>207.15729873773833</v>
      </c>
      <c r="C17" s="12">
        <f t="shared" si="0"/>
        <v>158.88964813184529</v>
      </c>
      <c r="D17" s="12">
        <f t="shared" si="1"/>
        <v>12.580456512521204</v>
      </c>
      <c r="E17" s="12">
        <f>E14*((E19/E14)^(3/5))</f>
        <v>60.097161723418353</v>
      </c>
      <c r="F17" s="12">
        <f t="shared" si="2"/>
        <v>6.7308821130228553</v>
      </c>
      <c r="G17" s="12">
        <f t="shared" si="3"/>
        <v>165.62053024486815</v>
      </c>
      <c r="H17" s="12">
        <f t="shared" si="4"/>
        <v>72.677618235939562</v>
      </c>
      <c r="I17" s="13">
        <f t="shared" si="5"/>
        <v>4276.9883541318159</v>
      </c>
      <c r="J17" s="14">
        <f t="shared" si="6"/>
        <v>13025.453143077517</v>
      </c>
      <c r="K17" s="15">
        <f t="shared" si="7"/>
        <v>708.35707906243726</v>
      </c>
      <c r="L17" s="16">
        <f t="shared" si="8"/>
        <v>946.65891088270689</v>
      </c>
      <c r="M17" s="17">
        <f t="shared" si="9"/>
        <v>-238.30183182026963</v>
      </c>
      <c r="N17" s="17">
        <f t="shared" si="10"/>
        <v>1891.8003024849706</v>
      </c>
    </row>
    <row r="18" spans="1:32">
      <c r="A18" s="1">
        <v>2024</v>
      </c>
      <c r="B18" s="12">
        <f>B14*((B19/B14)^(4/5))</f>
        <v>207.91625907079455</v>
      </c>
      <c r="C18" s="12">
        <f t="shared" si="0"/>
        <v>159.47177070729941</v>
      </c>
      <c r="D18" s="12">
        <f t="shared" si="1"/>
        <v>12.626547417948727</v>
      </c>
      <c r="E18" s="12">
        <f>E14*((E19/E14)^(4/5))</f>
        <v>61.972811088883951</v>
      </c>
      <c r="F18" s="12">
        <f t="shared" si="2"/>
        <v>6.9409548419550022</v>
      </c>
      <c r="G18" s="12">
        <f t="shared" si="3"/>
        <v>166.41272554925442</v>
      </c>
      <c r="H18" s="12">
        <f t="shared" si="4"/>
        <v>74.599358506832672</v>
      </c>
      <c r="I18" s="13">
        <f t="shared" si="5"/>
        <v>4276.9883541318159</v>
      </c>
      <c r="J18" s="14">
        <f t="shared" si="6"/>
        <v>13025.453143077517</v>
      </c>
      <c r="K18" s="15">
        <f t="shared" si="7"/>
        <v>711.74528915349526</v>
      </c>
      <c r="L18" s="16">
        <f t="shared" si="8"/>
        <v>971.69044873439009</v>
      </c>
      <c r="M18" s="17">
        <f t="shared" si="9"/>
        <v>-259.94515958089482</v>
      </c>
      <c r="N18" s="17">
        <f t="shared" si="10"/>
        <v>1686.7173516761397</v>
      </c>
    </row>
    <row r="19" spans="1:32">
      <c r="A19" s="1">
        <v>2025</v>
      </c>
      <c r="B19" s="12">
        <v>208.678</v>
      </c>
      <c r="C19" s="12">
        <f t="shared" si="0"/>
        <v>160.056026</v>
      </c>
      <c r="D19" s="12">
        <f t="shared" si="1"/>
        <v>12.672807186212111</v>
      </c>
      <c r="E19" s="12">
        <v>63.906999999999996</v>
      </c>
      <c r="F19" s="12">
        <f t="shared" si="2"/>
        <v>7.1575839999999999</v>
      </c>
      <c r="G19" s="12">
        <f t="shared" si="3"/>
        <v>167.21361000000002</v>
      </c>
      <c r="H19" s="12">
        <f t="shared" si="4"/>
        <v>76.579807186212108</v>
      </c>
      <c r="I19" s="13">
        <f t="shared" si="5"/>
        <v>4276.9883541318159</v>
      </c>
      <c r="J19" s="14">
        <f t="shared" si="6"/>
        <v>13025.453143077517</v>
      </c>
      <c r="K19" s="15">
        <f t="shared" si="7"/>
        <v>715.17066262233948</v>
      </c>
      <c r="L19" s="16">
        <f t="shared" si="8"/>
        <v>997.48669020991667</v>
      </c>
      <c r="M19" s="17">
        <f t="shared" si="9"/>
        <v>-282.3160275875772</v>
      </c>
      <c r="N19" s="17">
        <f t="shared" si="10"/>
        <v>1453.3161272871703</v>
      </c>
    </row>
    <row r="20" spans="1:32">
      <c r="A20" s="1">
        <v>2026</v>
      </c>
      <c r="B20" s="12">
        <f>B19*((B24/B19)^(1/5))</f>
        <v>209.65265293561032</v>
      </c>
      <c r="C20" s="12">
        <f t="shared" si="0"/>
        <v>160.80358480161311</v>
      </c>
      <c r="D20" s="12">
        <f t="shared" si="1"/>
        <v>12.731996888655424</v>
      </c>
      <c r="E20" s="12">
        <f>E19*((E24/E19)^(1/5))</f>
        <v>65.466053260854807</v>
      </c>
      <c r="F20" s="12">
        <f t="shared" si="2"/>
        <v>7.3321979652157383</v>
      </c>
      <c r="G20" s="12">
        <f t="shared" si="3"/>
        <v>168.13578276682884</v>
      </c>
      <c r="H20" s="12">
        <f t="shared" si="4"/>
        <v>78.198050149510237</v>
      </c>
      <c r="I20" s="13">
        <f t="shared" si="5"/>
        <v>4276.9883541318159</v>
      </c>
      <c r="J20" s="14">
        <f t="shared" si="6"/>
        <v>13025.453143077517</v>
      </c>
      <c r="K20" s="15">
        <f t="shared" si="7"/>
        <v>719.11478480656376</v>
      </c>
      <c r="L20" s="16">
        <f t="shared" si="8"/>
        <v>1018.5650381024714</v>
      </c>
      <c r="M20" s="17">
        <f t="shared" si="9"/>
        <v>-299.4502532959076</v>
      </c>
      <c r="N20" s="17">
        <f t="shared" si="10"/>
        <v>1196.0120416825903</v>
      </c>
    </row>
    <row r="21" spans="1:32">
      <c r="A21" s="1">
        <v>2027</v>
      </c>
      <c r="B21" s="12">
        <f>B19*((B24/B19)^(2/5))</f>
        <v>210.6318580920819</v>
      </c>
      <c r="C21" s="12">
        <f t="shared" si="0"/>
        <v>161.55463515662683</v>
      </c>
      <c r="D21" s="12">
        <f t="shared" si="1"/>
        <v>12.791463042939577</v>
      </c>
      <c r="E21" s="12">
        <f>E19*((E24/E19)^(2/5))</f>
        <v>67.063140650524659</v>
      </c>
      <c r="F21" s="12">
        <f t="shared" si="2"/>
        <v>7.5110717528587623</v>
      </c>
      <c r="G21" s="12">
        <f t="shared" si="3"/>
        <v>169.06570690948558</v>
      </c>
      <c r="H21" s="12">
        <f t="shared" si="4"/>
        <v>79.854603693464242</v>
      </c>
      <c r="I21" s="13">
        <f t="shared" si="5"/>
        <v>4276.9883541318159</v>
      </c>
      <c r="J21" s="14">
        <f t="shared" si="6"/>
        <v>13025.453143077517</v>
      </c>
      <c r="K21" s="15">
        <f t="shared" si="7"/>
        <v>723.09205953493267</v>
      </c>
      <c r="L21" s="16">
        <f t="shared" si="8"/>
        <v>1040.1423986682432</v>
      </c>
      <c r="M21" s="17">
        <f t="shared" si="9"/>
        <v>-317.05033913331056</v>
      </c>
      <c r="N21" s="17">
        <f t="shared" si="10"/>
        <v>913.6460517580748</v>
      </c>
    </row>
    <row r="22" spans="1:32">
      <c r="A22" s="1">
        <v>2028</v>
      </c>
      <c r="B22" s="12">
        <f>B19*((B24/B19)^(3/5))</f>
        <v>211.61563673104965</v>
      </c>
      <c r="C22" s="12">
        <f t="shared" si="0"/>
        <v>162.30919337271507</v>
      </c>
      <c r="D22" s="12">
        <f t="shared" si="1"/>
        <v>12.851206940262498</v>
      </c>
      <c r="E22" s="12">
        <f>E19*((E24/E19)^(3/5))</f>
        <v>68.699190036575715</v>
      </c>
      <c r="F22" s="12">
        <f t="shared" si="2"/>
        <v>7.6943092840964802</v>
      </c>
      <c r="G22" s="12">
        <f t="shared" si="3"/>
        <v>170.00350265681155</v>
      </c>
      <c r="H22" s="12">
        <f t="shared" si="4"/>
        <v>81.550396976838215</v>
      </c>
      <c r="I22" s="13">
        <f t="shared" si="5"/>
        <v>4276.9883541318159</v>
      </c>
      <c r="J22" s="14">
        <f t="shared" si="6"/>
        <v>13025.453143077517</v>
      </c>
      <c r="K22" s="15">
        <f t="shared" si="7"/>
        <v>727.10300102480028</v>
      </c>
      <c r="L22" s="16">
        <f t="shared" si="8"/>
        <v>1062.2308746211766</v>
      </c>
      <c r="M22" s="17">
        <f t="shared" si="9"/>
        <v>-335.12787359637628</v>
      </c>
      <c r="N22" s="17">
        <f t="shared" si="10"/>
        <v>605.01391366268263</v>
      </c>
    </row>
    <row r="23" spans="1:32">
      <c r="A23" s="1">
        <v>2029</v>
      </c>
      <c r="B23" s="12">
        <f>B19*((B24/B19)^(4/5))</f>
        <v>212.60401021345294</v>
      </c>
      <c r="C23" s="12">
        <f t="shared" si="0"/>
        <v>163.06727583371841</v>
      </c>
      <c r="D23" s="12">
        <f t="shared" si="1"/>
        <v>12.911229877852767</v>
      </c>
      <c r="E23" s="12">
        <f>E19*((E24/E19)^(4/5))</f>
        <v>70.375151922513226</v>
      </c>
      <c r="F23" s="12">
        <f t="shared" si="2"/>
        <v>7.8820170153214812</v>
      </c>
      <c r="G23" s="12">
        <f t="shared" si="3"/>
        <v>170.94929284903989</v>
      </c>
      <c r="H23" s="12">
        <f t="shared" si="4"/>
        <v>83.286381800365987</v>
      </c>
      <c r="I23" s="13">
        <f t="shared" si="5"/>
        <v>4276.9883541318159</v>
      </c>
      <c r="J23" s="14">
        <f t="shared" si="6"/>
        <v>13025.453143077517</v>
      </c>
      <c r="K23" s="15">
        <f t="shared" si="7"/>
        <v>731.14813466241287</v>
      </c>
      <c r="L23" s="16">
        <f t="shared" si="8"/>
        <v>1084.8428635971313</v>
      </c>
      <c r="M23" s="17">
        <f t="shared" si="9"/>
        <v>-353.69472893471846</v>
      </c>
      <c r="N23" s="17">
        <f t="shared" si="10"/>
        <v>268.86458822418194</v>
      </c>
    </row>
    <row r="24" spans="1:32">
      <c r="A24" s="1">
        <v>2030</v>
      </c>
      <c r="B24" s="12">
        <v>213.59700000000001</v>
      </c>
      <c r="C24" s="12">
        <f t="shared" si="0"/>
        <v>163.82889900000001</v>
      </c>
      <c r="D24" s="12">
        <f t="shared" si="1"/>
        <v>12.971533158997827</v>
      </c>
      <c r="E24" s="12">
        <v>72.091999999999999</v>
      </c>
      <c r="F24" s="12">
        <f t="shared" si="2"/>
        <v>8.0743039999999997</v>
      </c>
      <c r="G24" s="12">
        <f t="shared" si="3"/>
        <v>171.90320300000002</v>
      </c>
      <c r="H24" s="12">
        <f t="shared" si="4"/>
        <v>85.063533158997828</v>
      </c>
      <c r="I24" s="13">
        <f t="shared" si="5"/>
        <v>4276.9883541318159</v>
      </c>
      <c r="J24" s="14">
        <f t="shared" si="6"/>
        <v>13025.453143077517</v>
      </c>
      <c r="K24" s="15">
        <f t="shared" si="7"/>
        <v>735.22799726895755</v>
      </c>
      <c r="L24" s="16">
        <f t="shared" si="8"/>
        <v>1107.991065347147</v>
      </c>
      <c r="M24" s="17">
        <f t="shared" si="9"/>
        <v>-372.76306807818946</v>
      </c>
      <c r="N24" s="17">
        <f t="shared" si="10"/>
        <v>-96.10140679550625</v>
      </c>
    </row>
    <row r="25" spans="1:32">
      <c r="A25" s="1">
        <v>2031</v>
      </c>
      <c r="B25" s="12">
        <f>B24*((B29/B24)^(1/5))</f>
        <v>215.10923506346009</v>
      </c>
      <c r="C25" s="12">
        <f t="shared" si="0"/>
        <v>164.98878329367389</v>
      </c>
      <c r="D25" s="12">
        <f t="shared" si="1"/>
        <v>13.063369688864219</v>
      </c>
      <c r="E25" s="12">
        <f>E24*((E29/E24)^(1/5))</f>
        <v>73.150648234683203</v>
      </c>
      <c r="F25" s="12">
        <f t="shared" si="2"/>
        <v>8.1928726022845186</v>
      </c>
      <c r="G25" s="12">
        <f t="shared" si="3"/>
        <v>173.18165589595841</v>
      </c>
      <c r="H25" s="12">
        <f t="shared" si="4"/>
        <v>86.214017923547416</v>
      </c>
      <c r="I25" s="13">
        <f t="shared" si="5"/>
        <v>4276.9883541318159</v>
      </c>
      <c r="J25" s="14">
        <f t="shared" si="6"/>
        <v>13025.453143077517</v>
      </c>
      <c r="K25" s="15">
        <f t="shared" si="7"/>
        <v>740.69592541627776</v>
      </c>
      <c r="L25" s="16">
        <f t="shared" si="8"/>
        <v>1122.9766507396121</v>
      </c>
      <c r="M25" s="17">
        <f t="shared" si="9"/>
        <v>-382.28072532333431</v>
      </c>
      <c r="N25" s="17">
        <f t="shared" si="10"/>
        <v>-481.16907291591025</v>
      </c>
    </row>
    <row r="26" spans="1:32">
      <c r="A26" s="1">
        <v>2032</v>
      </c>
      <c r="B26" s="12">
        <f>B24*((B29/B24)^(2/5))</f>
        <v>216.63217652676269</v>
      </c>
      <c r="C26" s="12">
        <f t="shared" si="0"/>
        <v>166.15687939602699</v>
      </c>
      <c r="D26" s="12">
        <f t="shared" si="1"/>
        <v>13.155856407734065</v>
      </c>
      <c r="E26" s="12">
        <f>E24*((E29/E24)^(2/5))</f>
        <v>74.224842384097528</v>
      </c>
      <c r="F26" s="12">
        <f t="shared" si="2"/>
        <v>8.3131823470189232</v>
      </c>
      <c r="G26" s="12">
        <f t="shared" si="3"/>
        <v>174.4700617430459</v>
      </c>
      <c r="H26" s="12">
        <f t="shared" si="4"/>
        <v>87.380698791831591</v>
      </c>
      <c r="I26" s="13">
        <f t="shared" si="5"/>
        <v>4276.9883541318159</v>
      </c>
      <c r="J26" s="14">
        <f t="shared" si="6"/>
        <v>13025.453143077517</v>
      </c>
      <c r="K26" s="15">
        <f t="shared" si="7"/>
        <v>746.20642221966614</v>
      </c>
      <c r="L26" s="16">
        <f t="shared" si="8"/>
        <v>1138.1731977223726</v>
      </c>
      <c r="M26" s="17">
        <f t="shared" si="9"/>
        <v>-391.96677550270647</v>
      </c>
      <c r="N26" s="17">
        <f t="shared" si="10"/>
        <v>-887.08975153317806</v>
      </c>
      <c r="P26" s="1" t="s">
        <v>48</v>
      </c>
    </row>
    <row r="27" spans="1:32">
      <c r="A27" s="1">
        <v>2033</v>
      </c>
      <c r="B27" s="12">
        <f>B24*((B29/B24)^(3/5))</f>
        <v>218.16590018962992</v>
      </c>
      <c r="C27" s="12">
        <f t="shared" si="0"/>
        <v>167.33324544544615</v>
      </c>
      <c r="D27" s="12">
        <f t="shared" si="1"/>
        <v>13.248997918849023</v>
      </c>
      <c r="E27" s="12">
        <f>E24*((E29/E24)^(3/5))</f>
        <v>75.314810735087434</v>
      </c>
      <c r="F27" s="12">
        <f t="shared" si="2"/>
        <v>8.435258802329793</v>
      </c>
      <c r="G27" s="12">
        <f t="shared" si="3"/>
        <v>175.76850424777595</v>
      </c>
      <c r="H27" s="12">
        <f t="shared" si="4"/>
        <v>88.563808653936462</v>
      </c>
      <c r="I27" s="13">
        <f t="shared" si="5"/>
        <v>4276.9883541318159</v>
      </c>
      <c r="J27" s="14">
        <f t="shared" si="6"/>
        <v>13025.453143077517</v>
      </c>
      <c r="K27" s="15">
        <f t="shared" si="7"/>
        <v>751.75984569090645</v>
      </c>
      <c r="L27" s="16">
        <f t="shared" si="8"/>
        <v>1153.5837397943326</v>
      </c>
      <c r="M27" s="17">
        <f t="shared" si="9"/>
        <v>-401.82389410342614</v>
      </c>
      <c r="N27" s="17">
        <f t="shared" si="10"/>
        <v>-1314.6392484310663</v>
      </c>
    </row>
    <row r="28" spans="1:32" ht="31" customHeight="1">
      <c r="A28" s="1">
        <v>2034</v>
      </c>
      <c r="B28" s="12">
        <f>B24*((B29/B24)^(4/5))</f>
        <v>219.71048238843468</v>
      </c>
      <c r="C28" s="12">
        <f t="shared" si="0"/>
        <v>168.51793999192941</v>
      </c>
      <c r="D28" s="12">
        <f t="shared" si="1"/>
        <v>13.342798858041023</v>
      </c>
      <c r="E28" s="12">
        <f>E24*((E29/E24)^(4/5))</f>
        <v>76.420784926817433</v>
      </c>
      <c r="F28" s="12">
        <f t="shared" si="2"/>
        <v>8.5591279118035519</v>
      </c>
      <c r="G28" s="12">
        <f t="shared" si="3"/>
        <v>177.07706790373297</v>
      </c>
      <c r="H28" s="12">
        <f t="shared" si="4"/>
        <v>89.763583784858454</v>
      </c>
      <c r="I28" s="13">
        <f t="shared" si="5"/>
        <v>4276.9883541318159</v>
      </c>
      <c r="J28" s="14">
        <f t="shared" si="6"/>
        <v>13025.453143077517</v>
      </c>
      <c r="K28" s="15">
        <f t="shared" si="7"/>
        <v>757.35655720807461</v>
      </c>
      <c r="L28" s="16">
        <f t="shared" si="8"/>
        <v>1169.2113545443865</v>
      </c>
      <c r="M28" s="17">
        <f t="shared" si="9"/>
        <v>-411.85479733631189</v>
      </c>
      <c r="N28" s="17">
        <f t="shared" si="10"/>
        <v>-1764.6185839718792</v>
      </c>
      <c r="P28" s="31" t="s">
        <v>47</v>
      </c>
      <c r="Q28" s="31" t="s">
        <v>50</v>
      </c>
      <c r="R28" s="21">
        <f>$N$44</f>
        <v>-11832.636481745963</v>
      </c>
      <c r="S28" s="31" t="s">
        <v>51</v>
      </c>
      <c r="T28" s="21">
        <f>$N$44</f>
        <v>-11832.636481745963</v>
      </c>
      <c r="U28" s="1" t="s">
        <v>52</v>
      </c>
      <c r="V28" s="21">
        <f>$N$44</f>
        <v>-11832.636481745963</v>
      </c>
      <c r="W28" s="1" t="s">
        <v>53</v>
      </c>
      <c r="X28" s="21">
        <f>$N$44</f>
        <v>-11832.636481745963</v>
      </c>
      <c r="Y28" s="1" t="s">
        <v>54</v>
      </c>
      <c r="Z28" s="21">
        <f>$N$44</f>
        <v>-11832.636481745963</v>
      </c>
      <c r="AA28" s="1" t="s">
        <v>15</v>
      </c>
      <c r="AB28" s="21">
        <f>$N$44</f>
        <v>-11832.636481745963</v>
      </c>
      <c r="AC28" s="1" t="s">
        <v>55</v>
      </c>
      <c r="AD28" s="21">
        <f>$N$44</f>
        <v>-11832.636481745963</v>
      </c>
      <c r="AE28" s="31" t="s">
        <v>56</v>
      </c>
      <c r="AF28" s="21">
        <f>$N$44</f>
        <v>-11832.636481745963</v>
      </c>
    </row>
    <row r="29" spans="1:32">
      <c r="A29" s="1">
        <v>2035</v>
      </c>
      <c r="B29" s="12">
        <v>221.26599999999999</v>
      </c>
      <c r="C29" s="12">
        <f t="shared" si="0"/>
        <v>169.71102199999999</v>
      </c>
      <c r="D29" s="12">
        <f t="shared" si="1"/>
        <v>13.43726389396299</v>
      </c>
      <c r="E29" s="12">
        <v>77.543000000000006</v>
      </c>
      <c r="F29" s="12">
        <f t="shared" si="2"/>
        <v>8.6848160000000014</v>
      </c>
      <c r="G29" s="12">
        <f t="shared" si="3"/>
        <v>178.395838</v>
      </c>
      <c r="H29" s="12">
        <f t="shared" si="4"/>
        <v>90.980263893962999</v>
      </c>
      <c r="I29" s="13">
        <f t="shared" si="5"/>
        <v>4276.9883541318159</v>
      </c>
      <c r="J29" s="14">
        <f t="shared" si="6"/>
        <v>13025.453143077517</v>
      </c>
      <c r="K29" s="15">
        <f t="shared" si="7"/>
        <v>762.99692155158596</v>
      </c>
      <c r="L29" s="16">
        <f t="shared" si="8"/>
        <v>1185.0591642956422</v>
      </c>
      <c r="M29" s="17">
        <f t="shared" si="9"/>
        <v>-422.06224274405622</v>
      </c>
      <c r="N29" s="17">
        <f t="shared" si="10"/>
        <v>-2237.85476565112</v>
      </c>
      <c r="P29" s="22">
        <v>-0.1</v>
      </c>
      <c r="Q29" s="18">
        <f>Q$50*(1+$P29)</f>
        <v>0.69030000000000002</v>
      </c>
      <c r="R29" s="21">
        <f t="dataTable" ref="R29:R49" dt2D="0" dtr="0" r1="P4" ca="1"/>
        <v>-17195.187399258615</v>
      </c>
      <c r="S29" s="18">
        <f>S$50*(1+$P29)</f>
        <v>0.1008</v>
      </c>
      <c r="T29" s="21">
        <f t="dataTable" ref="T29:T49" dt2D="0" dtr="0" r1="P5"/>
        <v>-12064.500615243744</v>
      </c>
      <c r="U29" s="18">
        <f>U$50*(1+$P29)</f>
        <v>5.4899999999999997E-2</v>
      </c>
      <c r="V29" s="21">
        <f t="dataTable" ref="V29:V49" dt2D="0" dtr="0" r1="P6" ca="1"/>
        <v>-10591.483761664167</v>
      </c>
      <c r="W29" s="18">
        <f>W$50*(1+$P29)</f>
        <v>0.1116</v>
      </c>
      <c r="X29" s="21">
        <f t="dataTable" ref="X29:X49" dt2D="0" dtr="0" r1="P7" ca="1"/>
        <v>-17427.051532756388</v>
      </c>
      <c r="Y29" s="32">
        <f>Y$50*(1+$P29)</f>
        <v>31042.657409021245</v>
      </c>
      <c r="Z29" s="21">
        <f t="dataTable" ref="Z29:Z49" dt2D="0" dtr="0" r1="P8" ca="1"/>
        <v>-17427.051532756388</v>
      </c>
      <c r="AA29" s="32">
        <f>AA$50*(1+$P29)</f>
        <v>11722.907828769765</v>
      </c>
      <c r="AB29" s="21">
        <f t="dataTable" ref="AB29:AB49" dt2D="0" dtr="0" r1="P9" ca="1"/>
        <v>-4234.7660761757343</v>
      </c>
      <c r="AC29" s="32">
        <f>AC$50*(1+$P29)</f>
        <v>2286.2700000000004</v>
      </c>
      <c r="AD29" s="21">
        <f t="dataTable" ref="AD29:AD49" dt2D="0" dtr="0" r1="P10" ca="1"/>
        <v>-12652.828188131156</v>
      </c>
      <c r="AE29" s="33">
        <f>AE$50*(1+$P29)</f>
        <v>2.6100000000000002E-2</v>
      </c>
      <c r="AF29" s="21">
        <f t="dataTable" ref="AF29:AF49" dt2D="0" dtr="0" r1="P11" ca="1"/>
        <v>-11787.462858166575</v>
      </c>
    </row>
    <row r="30" spans="1:32">
      <c r="A30" s="1">
        <v>2036</v>
      </c>
      <c r="B30" s="12">
        <f>B29*((B34/B29)^(1/5))</f>
        <v>223.06936386186467</v>
      </c>
      <c r="C30" s="12">
        <f t="shared" si="0"/>
        <v>171.0942020820502</v>
      </c>
      <c r="D30" s="12">
        <f t="shared" si="1"/>
        <v>13.546780385917074</v>
      </c>
      <c r="E30" s="12">
        <f>E29*((E34/E29)^(1/5))</f>
        <v>78.268304122283197</v>
      </c>
      <c r="F30" s="12">
        <f t="shared" si="2"/>
        <v>8.7660500616957187</v>
      </c>
      <c r="G30" s="12">
        <f t="shared" si="3"/>
        <v>179.86025214374592</v>
      </c>
      <c r="H30" s="12">
        <f t="shared" si="4"/>
        <v>91.815084508200272</v>
      </c>
      <c r="I30" s="13">
        <f t="shared" si="5"/>
        <v>4276.9883541318159</v>
      </c>
      <c r="J30" s="14">
        <f t="shared" si="6"/>
        <v>13025.453143077517</v>
      </c>
      <c r="K30" s="15">
        <f t="shared" si="7"/>
        <v>769.26020379001329</v>
      </c>
      <c r="L30" s="16">
        <f t="shared" si="8"/>
        <v>1195.933081089265</v>
      </c>
      <c r="M30" s="17">
        <f t="shared" si="9"/>
        <v>-426.6728772992517</v>
      </c>
      <c r="N30" s="17">
        <f t="shared" si="10"/>
        <v>-2729.4254311542536</v>
      </c>
      <c r="P30" s="22">
        <v>-0.09</v>
      </c>
      <c r="Q30" s="18">
        <f t="shared" ref="Q30:AE49" si="11">Q$50*(1+$P30)</f>
        <v>0.69797000000000009</v>
      </c>
      <c r="R30" s="21">
        <v>-16658.932307507344</v>
      </c>
      <c r="S30" s="18">
        <f t="shared" si="11"/>
        <v>0.10192000000000001</v>
      </c>
      <c r="T30" s="21">
        <v>-12041.314201893969</v>
      </c>
      <c r="U30" s="18">
        <f t="shared" si="11"/>
        <v>5.5510000000000004E-2</v>
      </c>
      <c r="V30" s="21">
        <v>-10721.369262436372</v>
      </c>
      <c r="W30" s="18">
        <f t="shared" si="11"/>
        <v>0.11284000000000001</v>
      </c>
      <c r="X30" s="21">
        <v>-16867.610027655341</v>
      </c>
      <c r="Y30" s="32">
        <f t="shared" si="11"/>
        <v>31387.575824677038</v>
      </c>
      <c r="Z30" s="21">
        <v>-16867.610027655348</v>
      </c>
      <c r="AA30" s="32">
        <f t="shared" si="11"/>
        <v>11853.16236020054</v>
      </c>
      <c r="AB30" s="21">
        <v>-4994.5531167327572</v>
      </c>
      <c r="AC30" s="32">
        <f t="shared" si="11"/>
        <v>2311.6730000000002</v>
      </c>
      <c r="AD30" s="21">
        <v>-12570.809017492629</v>
      </c>
      <c r="AE30" s="33">
        <f t="shared" si="11"/>
        <v>2.6390000000000004E-2</v>
      </c>
      <c r="AF30" s="21">
        <v>-11793.861992547025</v>
      </c>
    </row>
    <row r="31" spans="1:32">
      <c r="A31" s="1">
        <v>2037</v>
      </c>
      <c r="B31" s="12">
        <f>B29*((B34/B29)^(2/5))</f>
        <v>224.88742551380224</v>
      </c>
      <c r="C31" s="12">
        <f t="shared" si="0"/>
        <v>172.48865536908633</v>
      </c>
      <c r="D31" s="12">
        <f t="shared" si="1"/>
        <v>13.657189460029587</v>
      </c>
      <c r="E31" s="12">
        <f>E29*((E34/E29)^(2/5))</f>
        <v>79.000392429725594</v>
      </c>
      <c r="F31" s="12">
        <f t="shared" si="2"/>
        <v>8.8480439521292666</v>
      </c>
      <c r="G31" s="12">
        <f t="shared" si="3"/>
        <v>181.3366993212156</v>
      </c>
      <c r="H31" s="12">
        <f t="shared" si="4"/>
        <v>92.657581889755178</v>
      </c>
      <c r="I31" s="13">
        <f t="shared" si="5"/>
        <v>4276.9883541318159</v>
      </c>
      <c r="J31" s="14">
        <f t="shared" si="6"/>
        <v>13025.453143077517</v>
      </c>
      <c r="K31" s="15">
        <f t="shared" si="7"/>
        <v>775.57495117354199</v>
      </c>
      <c r="L31" s="16">
        <f t="shared" si="8"/>
        <v>1206.9069912558741</v>
      </c>
      <c r="M31" s="17">
        <f t="shared" si="9"/>
        <v>-431.33204008233213</v>
      </c>
      <c r="N31" s="17">
        <f t="shared" si="10"/>
        <v>-3239.9108087400591</v>
      </c>
      <c r="P31" s="22">
        <v>-0.08</v>
      </c>
      <c r="Q31" s="18">
        <f t="shared" si="11"/>
        <v>0.70564000000000004</v>
      </c>
      <c r="R31" s="21">
        <v>-16122.677215756084</v>
      </c>
      <c r="S31" s="18">
        <f t="shared" si="11"/>
        <v>0.10304000000000001</v>
      </c>
      <c r="T31" s="21">
        <v>-12018.127788544189</v>
      </c>
      <c r="U31" s="18">
        <f t="shared" si="11"/>
        <v>5.6120000000000003E-2</v>
      </c>
      <c r="V31" s="21">
        <v>-10851.254763208572</v>
      </c>
      <c r="W31" s="18">
        <f t="shared" si="11"/>
        <v>0.11408</v>
      </c>
      <c r="X31" s="21">
        <v>-16308.168522554317</v>
      </c>
      <c r="Y31" s="32">
        <f t="shared" si="11"/>
        <v>31732.494240332831</v>
      </c>
      <c r="Z31" s="21">
        <v>-16308.168522554308</v>
      </c>
      <c r="AA31" s="32">
        <f t="shared" si="11"/>
        <v>11983.416891631316</v>
      </c>
      <c r="AB31" s="21">
        <v>-5754.3401572897783</v>
      </c>
      <c r="AC31" s="32">
        <f t="shared" si="11"/>
        <v>2337.0760000000005</v>
      </c>
      <c r="AD31" s="21">
        <v>-12488.789846854113</v>
      </c>
      <c r="AE31" s="33">
        <f t="shared" si="11"/>
        <v>2.6680000000000002E-2</v>
      </c>
      <c r="AF31" s="21">
        <v>-11799.861504663009</v>
      </c>
    </row>
    <row r="32" spans="1:32">
      <c r="A32" s="1">
        <v>2038</v>
      </c>
      <c r="B32" s="12">
        <f>B29*((B34/B29)^(3/5))</f>
        <v>226.72030474585495</v>
      </c>
      <c r="C32" s="12">
        <f t="shared" si="0"/>
        <v>173.89447374007074</v>
      </c>
      <c r="D32" s="12">
        <f t="shared" si="1"/>
        <v>13.768498391030539</v>
      </c>
      <c r="E32" s="12">
        <f>E29*((E34/E29)^(3/5))</f>
        <v>79.739328378699312</v>
      </c>
      <c r="F32" s="12">
        <f t="shared" si="2"/>
        <v>8.9308047784143234</v>
      </c>
      <c r="G32" s="12">
        <f t="shared" si="3"/>
        <v>182.82527851848505</v>
      </c>
      <c r="H32" s="12">
        <f t="shared" si="4"/>
        <v>93.507826769729846</v>
      </c>
      <c r="I32" s="13">
        <f t="shared" si="5"/>
        <v>4276.9883541318159</v>
      </c>
      <c r="J32" s="14">
        <f t="shared" si="6"/>
        <v>13025.453143077517</v>
      </c>
      <c r="K32" s="15">
        <f t="shared" si="7"/>
        <v>781.94158706446626</v>
      </c>
      <c r="L32" s="16">
        <f t="shared" si="8"/>
        <v>1217.9818161001256</v>
      </c>
      <c r="M32" s="17">
        <f t="shared" si="9"/>
        <v>-436.04022903565931</v>
      </c>
      <c r="N32" s="17">
        <f t="shared" si="10"/>
        <v>-3769.9084512291797</v>
      </c>
      <c r="P32" s="22">
        <v>-7.0000000000000007E-2</v>
      </c>
      <c r="Q32" s="18">
        <f t="shared" si="11"/>
        <v>0.71331</v>
      </c>
      <c r="R32" s="21">
        <v>-15586.422124004821</v>
      </c>
      <c r="S32" s="18">
        <f t="shared" si="11"/>
        <v>0.10415999999999999</v>
      </c>
      <c r="T32" s="21">
        <v>-11994.941375194408</v>
      </c>
      <c r="U32" s="18">
        <f t="shared" si="11"/>
        <v>5.6729999999999996E-2</v>
      </c>
      <c r="V32" s="21">
        <v>-10981.140263980777</v>
      </c>
      <c r="W32" s="18">
        <f t="shared" si="11"/>
        <v>0.11531999999999999</v>
      </c>
      <c r="X32" s="21">
        <v>-15748.727017453268</v>
      </c>
      <c r="Y32" s="32">
        <f t="shared" si="11"/>
        <v>32077.412655988617</v>
      </c>
      <c r="Z32" s="21">
        <v>-15748.727017453268</v>
      </c>
      <c r="AA32" s="32">
        <f t="shared" si="11"/>
        <v>12113.671423062089</v>
      </c>
      <c r="AB32" s="21">
        <v>-6514.1271978468003</v>
      </c>
      <c r="AC32" s="32">
        <f t="shared" si="11"/>
        <v>2362.4789999999998</v>
      </c>
      <c r="AD32" s="21">
        <v>-12406.770676215599</v>
      </c>
      <c r="AE32" s="33">
        <f t="shared" si="11"/>
        <v>2.6970000000000001E-2</v>
      </c>
      <c r="AF32" s="21">
        <v>-11805.454593118176</v>
      </c>
    </row>
    <row r="33" spans="1:32">
      <c r="A33" s="1">
        <v>2039</v>
      </c>
      <c r="B33" s="12">
        <f>B29*((B34/B29)^(4/5))</f>
        <v>228.56812232437861</v>
      </c>
      <c r="C33" s="12">
        <f t="shared" si="0"/>
        <v>175.31174982279839</v>
      </c>
      <c r="D33" s="12">
        <f t="shared" si="1"/>
        <v>13.880714512940484</v>
      </c>
      <c r="E33" s="12">
        <f>E29*((E34/E29)^(4/5))</f>
        <v>80.485176019120274</v>
      </c>
      <c r="F33" s="12">
        <f t="shared" si="2"/>
        <v>9.0143397141414709</v>
      </c>
      <c r="G33" s="12">
        <f t="shared" si="3"/>
        <v>184.32608953693986</v>
      </c>
      <c r="H33" s="12">
        <f t="shared" si="4"/>
        <v>94.36589053206076</v>
      </c>
      <c r="I33" s="13">
        <f t="shared" si="5"/>
        <v>4276.9883541318159</v>
      </c>
      <c r="J33" s="14">
        <f t="shared" si="6"/>
        <v>13025.453143077517</v>
      </c>
      <c r="K33" s="15">
        <f t="shared" si="7"/>
        <v>788.3605383121502</v>
      </c>
      <c r="L33" s="16">
        <f t="shared" si="8"/>
        <v>1229.1584854301398</v>
      </c>
      <c r="M33" s="17">
        <f t="shared" si="9"/>
        <v>-440.79794711798957</v>
      </c>
      <c r="N33" s="17">
        <f t="shared" si="10"/>
        <v>-4320.0337434328148</v>
      </c>
      <c r="P33" s="22">
        <v>-0.06</v>
      </c>
      <c r="Q33" s="18">
        <f t="shared" si="11"/>
        <v>0.72097999999999995</v>
      </c>
      <c r="R33" s="21">
        <v>-15050.167032253554</v>
      </c>
      <c r="S33" s="18">
        <f t="shared" si="11"/>
        <v>0.10528</v>
      </c>
      <c r="T33" s="21">
        <v>-11971.754961844628</v>
      </c>
      <c r="U33" s="18">
        <f t="shared" si="11"/>
        <v>5.7339999999999995E-2</v>
      </c>
      <c r="V33" s="21">
        <v>-11111.025764752982</v>
      </c>
      <c r="W33" s="18">
        <f t="shared" si="11"/>
        <v>0.11656</v>
      </c>
      <c r="X33" s="21">
        <v>-15189.285512352219</v>
      </c>
      <c r="Y33" s="32">
        <f t="shared" si="11"/>
        <v>32422.33107164441</v>
      </c>
      <c r="Z33" s="21">
        <v>-15189.285512352219</v>
      </c>
      <c r="AA33" s="32">
        <f t="shared" si="11"/>
        <v>12243.925954492865</v>
      </c>
      <c r="AB33" s="21">
        <v>-7273.9142384038187</v>
      </c>
      <c r="AC33" s="32">
        <f t="shared" si="11"/>
        <v>2387.8820000000001</v>
      </c>
      <c r="AD33" s="21">
        <v>-12324.751505577078</v>
      </c>
      <c r="AE33" s="33">
        <f t="shared" si="11"/>
        <v>2.726E-2</v>
      </c>
      <c r="AF33" s="21">
        <v>-11810.634369391086</v>
      </c>
    </row>
    <row r="34" spans="1:32">
      <c r="A34" s="1">
        <v>2040</v>
      </c>
      <c r="B34" s="12">
        <v>230.43100000000001</v>
      </c>
      <c r="C34" s="12">
        <f t="shared" si="0"/>
        <v>176.740577</v>
      </c>
      <c r="D34" s="12">
        <f t="shared" si="1"/>
        <v>13.993845219553778</v>
      </c>
      <c r="E34" s="12">
        <v>81.238</v>
      </c>
      <c r="F34" s="12">
        <f t="shared" si="2"/>
        <v>9.0986560000000001</v>
      </c>
      <c r="G34" s="12">
        <f t="shared" si="3"/>
        <v>185.83923300000001</v>
      </c>
      <c r="H34" s="12">
        <f t="shared" si="4"/>
        <v>95.231845219553776</v>
      </c>
      <c r="I34" s="13">
        <f t="shared" si="5"/>
        <v>4276.9883541318159</v>
      </c>
      <c r="J34" s="14">
        <f t="shared" si="6"/>
        <v>13025.453143077517</v>
      </c>
      <c r="K34" s="15">
        <f t="shared" si="7"/>
        <v>794.83223528178905</v>
      </c>
      <c r="L34" s="16">
        <f t="shared" si="8"/>
        <v>1240.4379376361085</v>
      </c>
      <c r="M34" s="17">
        <f t="shared" si="9"/>
        <v>-445.60570235431942</v>
      </c>
      <c r="N34" s="17">
        <f t="shared" si="10"/>
        <v>-4890.9204243466847</v>
      </c>
      <c r="P34" s="22">
        <v>-0.05</v>
      </c>
      <c r="Q34" s="18">
        <f t="shared" si="11"/>
        <v>0.72865000000000002</v>
      </c>
      <c r="R34" s="21">
        <v>-14513.911940502287</v>
      </c>
      <c r="S34" s="18">
        <f t="shared" si="11"/>
        <v>0.10639999999999999</v>
      </c>
      <c r="T34" s="21">
        <v>-11948.568548494846</v>
      </c>
      <c r="U34" s="18">
        <f t="shared" si="11"/>
        <v>5.7949999999999995E-2</v>
      </c>
      <c r="V34" s="21">
        <v>-11240.911265525183</v>
      </c>
      <c r="W34" s="18">
        <f t="shared" si="11"/>
        <v>0.11779999999999999</v>
      </c>
      <c r="X34" s="21">
        <v>-14629.844007251175</v>
      </c>
      <c r="Y34" s="32">
        <f t="shared" si="11"/>
        <v>32767.249487300203</v>
      </c>
      <c r="Z34" s="21">
        <v>-14629.844007251175</v>
      </c>
      <c r="AA34" s="32">
        <f t="shared" si="11"/>
        <v>12374.18048592364</v>
      </c>
      <c r="AB34" s="21">
        <v>-8033.7012789608425</v>
      </c>
      <c r="AC34" s="32">
        <f t="shared" si="11"/>
        <v>2413.2849999999999</v>
      </c>
      <c r="AD34" s="21">
        <v>-12242.732334938555</v>
      </c>
      <c r="AE34" s="33">
        <f t="shared" si="11"/>
        <v>2.7550000000000002E-2</v>
      </c>
      <c r="AF34" s="21">
        <v>-11815.393856834295</v>
      </c>
    </row>
    <row r="35" spans="1:32">
      <c r="A35" s="1">
        <v>2041</v>
      </c>
      <c r="B35" s="12">
        <f>B34*((B39/B34)^(1/5))</f>
        <v>232.30080804985718</v>
      </c>
      <c r="C35" s="12">
        <f t="shared" si="0"/>
        <v>178.17471977424046</v>
      </c>
      <c r="D35" s="12">
        <f t="shared" si="1"/>
        <v>14.10739680089473</v>
      </c>
      <c r="E35" s="12">
        <f>E34*((E39/E34)^(1/5))</f>
        <v>81.871638132323511</v>
      </c>
      <c r="F35" s="12">
        <f t="shared" si="2"/>
        <v>9.169623470820234</v>
      </c>
      <c r="G35" s="12">
        <f t="shared" si="3"/>
        <v>187.34434324506068</v>
      </c>
      <c r="H35" s="12">
        <f t="shared" si="4"/>
        <v>95.979034933218244</v>
      </c>
      <c r="I35" s="13">
        <f t="shared" si="5"/>
        <v>4276.9883541318159</v>
      </c>
      <c r="J35" s="14">
        <f t="shared" si="6"/>
        <v>13025.453143077517</v>
      </c>
      <c r="K35" s="15">
        <f t="shared" si="7"/>
        <v>801.26957427159812</v>
      </c>
      <c r="L35" s="16">
        <f t="shared" si="8"/>
        <v>1250.1704222404344</v>
      </c>
      <c r="M35" s="17">
        <f t="shared" si="9"/>
        <v>-448.90084796883627</v>
      </c>
      <c r="N35" s="17">
        <f t="shared" si="10"/>
        <v>-5481.6579646215741</v>
      </c>
      <c r="P35" s="22">
        <v>-3.9999999999999897E-2</v>
      </c>
      <c r="Q35" s="18">
        <f t="shared" si="11"/>
        <v>0.73632000000000009</v>
      </c>
      <c r="R35" s="21">
        <v>-13977.656848751018</v>
      </c>
      <c r="S35" s="18">
        <f t="shared" si="11"/>
        <v>0.10752</v>
      </c>
      <c r="T35" s="21">
        <v>-11925.382135145075</v>
      </c>
      <c r="U35" s="18">
        <f t="shared" si="11"/>
        <v>5.8560000000000001E-2</v>
      </c>
      <c r="V35" s="21">
        <v>-11370.796766297386</v>
      </c>
      <c r="W35" s="18">
        <f t="shared" si="11"/>
        <v>0.11904000000000001</v>
      </c>
      <c r="X35" s="21">
        <v>-14070.40250215012</v>
      </c>
      <c r="Y35" s="32">
        <f t="shared" si="11"/>
        <v>33112.167902955996</v>
      </c>
      <c r="Z35" s="21">
        <v>-14070.40250215012</v>
      </c>
      <c r="AA35" s="32">
        <f t="shared" si="11"/>
        <v>12504.435017354417</v>
      </c>
      <c r="AB35" s="21">
        <v>-8793.4883195178791</v>
      </c>
      <c r="AC35" s="32">
        <f t="shared" si="11"/>
        <v>2438.6880000000006</v>
      </c>
      <c r="AD35" s="21">
        <v>-12160.713164300036</v>
      </c>
      <c r="AE35" s="33">
        <f t="shared" si="11"/>
        <v>2.7840000000000004E-2</v>
      </c>
      <c r="AF35" s="21">
        <v>-11819.725989662831</v>
      </c>
    </row>
    <row r="36" spans="1:32">
      <c r="A36" s="1">
        <v>2042</v>
      </c>
      <c r="B36" s="12">
        <f>B34*((B39/B34)^(2/5))</f>
        <v>234.18578845995802</v>
      </c>
      <c r="C36" s="12">
        <f t="shared" si="0"/>
        <v>179.62049974878781</v>
      </c>
      <c r="D36" s="12">
        <f t="shared" si="1"/>
        <v>14.221869784568117</v>
      </c>
      <c r="E36" s="12">
        <f>E34*((E39/E34)^(2/5))</f>
        <v>82.510218499595396</v>
      </c>
      <c r="F36" s="12">
        <f t="shared" si="2"/>
        <v>9.2411444719546854</v>
      </c>
      <c r="G36" s="12">
        <f t="shared" si="3"/>
        <v>188.86164422074251</v>
      </c>
      <c r="H36" s="12">
        <f t="shared" si="4"/>
        <v>96.73208828416351</v>
      </c>
      <c r="I36" s="13">
        <f t="shared" si="5"/>
        <v>4276.9883541318159</v>
      </c>
      <c r="J36" s="14">
        <f t="shared" si="6"/>
        <v>13025.453143077517</v>
      </c>
      <c r="K36" s="15">
        <f t="shared" si="7"/>
        <v>807.75905287430203</v>
      </c>
      <c r="L36" s="16">
        <f t="shared" si="8"/>
        <v>1259.9792833774095</v>
      </c>
      <c r="M36" s="17">
        <f t="shared" si="9"/>
        <v>-452.22023050310747</v>
      </c>
      <c r="N36" s="17">
        <f t="shared" si="10"/>
        <v>-6092.8462760987068</v>
      </c>
      <c r="P36" s="22">
        <v>-2.9999999999999898E-2</v>
      </c>
      <c r="Q36" s="18">
        <f t="shared" si="11"/>
        <v>0.74399000000000004</v>
      </c>
      <c r="R36" s="21">
        <v>-13441.401756999754</v>
      </c>
      <c r="S36" s="18">
        <f t="shared" si="11"/>
        <v>0.10864000000000001</v>
      </c>
      <c r="T36" s="21">
        <v>-11902.195721795291</v>
      </c>
      <c r="U36" s="18">
        <f t="shared" si="11"/>
        <v>5.9170000000000007E-2</v>
      </c>
      <c r="V36" s="21">
        <v>-11500.682267069589</v>
      </c>
      <c r="W36" s="18">
        <f t="shared" si="11"/>
        <v>0.12028000000000001</v>
      </c>
      <c r="X36" s="21">
        <v>-13510.960997049078</v>
      </c>
      <c r="Y36" s="32">
        <f t="shared" si="11"/>
        <v>33457.086318611786</v>
      </c>
      <c r="Z36" s="21">
        <v>-13510.960997049091</v>
      </c>
      <c r="AA36" s="32">
        <f t="shared" si="11"/>
        <v>12634.689548785193</v>
      </c>
      <c r="AB36" s="21">
        <v>-9553.2753600749038</v>
      </c>
      <c r="AC36" s="32">
        <f t="shared" si="11"/>
        <v>2464.0910000000003</v>
      </c>
      <c r="AD36" s="21">
        <v>-12078.693993661518</v>
      </c>
      <c r="AE36" s="33">
        <f t="shared" si="11"/>
        <v>2.8130000000000002E-2</v>
      </c>
      <c r="AF36" s="21">
        <v>-11823.623611931645</v>
      </c>
    </row>
    <row r="37" spans="1:32">
      <c r="A37" s="1">
        <v>2043</v>
      </c>
      <c r="B37" s="12">
        <f>B34*((B39/B34)^(3/5))</f>
        <v>236.08606434481979</v>
      </c>
      <c r="C37" s="12">
        <f t="shared" si="0"/>
        <v>181.07801135247678</v>
      </c>
      <c r="D37" s="12">
        <f t="shared" si="1"/>
        <v>14.337271647196003</v>
      </c>
      <c r="E37" s="12">
        <f>E34*((E39/E34)^(3/5))</f>
        <v>83.153779650136869</v>
      </c>
      <c r="F37" s="12">
        <f t="shared" si="2"/>
        <v>9.3132233208153288</v>
      </c>
      <c r="G37" s="12">
        <f t="shared" si="3"/>
        <v>190.3912346732921</v>
      </c>
      <c r="H37" s="12">
        <f t="shared" si="4"/>
        <v>97.491051297332874</v>
      </c>
      <c r="I37" s="13">
        <f t="shared" si="5"/>
        <v>4276.9883541318159</v>
      </c>
      <c r="J37" s="14">
        <f t="shared" si="6"/>
        <v>13025.453143077517</v>
      </c>
      <c r="K37" s="15">
        <f t="shared" si="7"/>
        <v>814.30109342644789</v>
      </c>
      <c r="L37" s="16">
        <f t="shared" si="8"/>
        <v>1269.8651205427759</v>
      </c>
      <c r="M37" s="17">
        <f t="shared" si="9"/>
        <v>-455.56402711632802</v>
      </c>
      <c r="N37" s="17">
        <f t="shared" si="10"/>
        <v>-6725.102845221897</v>
      </c>
      <c r="P37" s="22">
        <v>-1.99999999999999E-2</v>
      </c>
      <c r="Q37" s="18">
        <f t="shared" si="11"/>
        <v>0.75166000000000011</v>
      </c>
      <c r="R37" s="21">
        <v>-12905.146665248483</v>
      </c>
      <c r="S37" s="18">
        <f t="shared" si="11"/>
        <v>0.10976000000000001</v>
      </c>
      <c r="T37" s="21">
        <v>-11879.009308445515</v>
      </c>
      <c r="U37" s="18">
        <f t="shared" si="11"/>
        <v>5.9780000000000007E-2</v>
      </c>
      <c r="V37" s="21">
        <v>-11630.567767841789</v>
      </c>
      <c r="W37" s="18">
        <f t="shared" si="11"/>
        <v>0.12152000000000002</v>
      </c>
      <c r="X37" s="21">
        <v>-12951.51949194804</v>
      </c>
      <c r="Y37" s="32">
        <f t="shared" si="11"/>
        <v>33802.004734267583</v>
      </c>
      <c r="Z37" s="21">
        <v>-12951.51949194804</v>
      </c>
      <c r="AA37" s="32">
        <f t="shared" si="11"/>
        <v>12764.944080215968</v>
      </c>
      <c r="AB37" s="21">
        <v>-10313.062400631925</v>
      </c>
      <c r="AC37" s="32">
        <f t="shared" si="11"/>
        <v>2489.4940000000006</v>
      </c>
      <c r="AD37" s="21">
        <v>-11996.674823022999</v>
      </c>
      <c r="AE37" s="33">
        <f t="shared" si="11"/>
        <v>2.8420000000000004E-2</v>
      </c>
      <c r="AF37" s="21">
        <v>-11827.079476502056</v>
      </c>
    </row>
    <row r="38" spans="1:32">
      <c r="A38" s="1">
        <v>2044</v>
      </c>
      <c r="B38" s="12">
        <f>B34*((B39/B34)^(4/5))</f>
        <v>238.0017598179594</v>
      </c>
      <c r="C38" s="12">
        <f t="shared" si="0"/>
        <v>182.54734978037487</v>
      </c>
      <c r="D38" s="12">
        <f t="shared" si="1"/>
        <v>14.453609926068705</v>
      </c>
      <c r="E38" s="12">
        <f>E34*((E39/E34)^(4/5))</f>
        <v>83.802360432937434</v>
      </c>
      <c r="F38" s="12">
        <f t="shared" si="2"/>
        <v>9.385864368488992</v>
      </c>
      <c r="G38" s="12">
        <f t="shared" si="3"/>
        <v>191.93321414886387</v>
      </c>
      <c r="H38" s="12">
        <f t="shared" si="4"/>
        <v>98.255970359006142</v>
      </c>
      <c r="I38" s="13">
        <f t="shared" si="5"/>
        <v>4276.9883541318159</v>
      </c>
      <c r="J38" s="14">
        <f t="shared" si="6"/>
        <v>13025.453143077517</v>
      </c>
      <c r="K38" s="15">
        <f t="shared" si="7"/>
        <v>820.89612168577855</v>
      </c>
      <c r="L38" s="16">
        <f t="shared" si="8"/>
        <v>1279.8285379388478</v>
      </c>
      <c r="M38" s="17">
        <f t="shared" si="9"/>
        <v>-458.93241625306928</v>
      </c>
      <c r="N38" s="17">
        <f t="shared" si="10"/>
        <v>-7379.0632439864012</v>
      </c>
      <c r="P38" s="22">
        <v>-9.99999999999991E-3</v>
      </c>
      <c r="Q38" s="18">
        <f t="shared" si="11"/>
        <v>0.75933000000000006</v>
      </c>
      <c r="R38" s="21">
        <v>-12368.891573497225</v>
      </c>
      <c r="S38" s="18">
        <f t="shared" si="11"/>
        <v>0.11088000000000002</v>
      </c>
      <c r="T38" s="21">
        <v>-11855.822895095744</v>
      </c>
      <c r="U38" s="18">
        <f t="shared" si="11"/>
        <v>6.0390000000000006E-2</v>
      </c>
      <c r="V38" s="21">
        <v>-11760.453268613997</v>
      </c>
      <c r="W38" s="18">
        <f t="shared" si="11"/>
        <v>0.12276000000000001</v>
      </c>
      <c r="X38" s="21">
        <v>-12392.077986846996</v>
      </c>
      <c r="Y38" s="32">
        <f t="shared" si="11"/>
        <v>34146.923149923372</v>
      </c>
      <c r="Z38" s="21">
        <v>-12392.077986846996</v>
      </c>
      <c r="AA38" s="32">
        <f t="shared" si="11"/>
        <v>12895.198611646743</v>
      </c>
      <c r="AB38" s="21">
        <v>-11072.849441188948</v>
      </c>
      <c r="AC38" s="32">
        <f t="shared" si="11"/>
        <v>2514.8970000000004</v>
      </c>
      <c r="AD38" s="21">
        <v>-11914.655652384483</v>
      </c>
      <c r="AE38" s="33">
        <f t="shared" si="11"/>
        <v>2.8710000000000003E-2</v>
      </c>
      <c r="AF38" s="21">
        <v>-11830.086243997172</v>
      </c>
    </row>
    <row r="39" spans="1:32">
      <c r="A39" s="1">
        <v>2045</v>
      </c>
      <c r="B39" s="12">
        <v>239.93299999999999</v>
      </c>
      <c r="C39" s="12">
        <f t="shared" si="0"/>
        <v>184.02861100000001</v>
      </c>
      <c r="D39" s="12">
        <f t="shared" si="1"/>
        <v>14.5708922196371</v>
      </c>
      <c r="E39" s="12">
        <v>84.456000000000003</v>
      </c>
      <c r="F39" s="12">
        <f t="shared" si="2"/>
        <v>9.4590720000000008</v>
      </c>
      <c r="G39" s="12">
        <f t="shared" si="3"/>
        <v>193.487683</v>
      </c>
      <c r="H39" s="12">
        <f t="shared" si="4"/>
        <v>99.026892219637105</v>
      </c>
      <c r="I39" s="13">
        <f t="shared" si="5"/>
        <v>4276.9883541318159</v>
      </c>
      <c r="J39" s="14">
        <f t="shared" si="6"/>
        <v>13025.453143077517</v>
      </c>
      <c r="K39" s="15">
        <f t="shared" si="7"/>
        <v>827.54456685894854</v>
      </c>
      <c r="L39" s="16">
        <f t="shared" si="8"/>
        <v>1289.8701445114705</v>
      </c>
      <c r="M39" s="17">
        <f t="shared" si="9"/>
        <v>-462.32557765252193</v>
      </c>
      <c r="N39" s="17">
        <f t="shared" si="10"/>
        <v>-8055.3816557145283</v>
      </c>
      <c r="P39" s="22">
        <v>0</v>
      </c>
      <c r="Q39" s="18">
        <f t="shared" si="11"/>
        <v>0.76700000000000002</v>
      </c>
      <c r="R39" s="21">
        <v>-11832.636481745963</v>
      </c>
      <c r="S39" s="18">
        <f t="shared" si="11"/>
        <v>0.112</v>
      </c>
      <c r="T39" s="21">
        <v>-11832.636481745963</v>
      </c>
      <c r="U39" s="18">
        <f t="shared" si="11"/>
        <v>6.0999999999999999E-2</v>
      </c>
      <c r="V39" s="21">
        <v>-11890.338769386199</v>
      </c>
      <c r="W39" s="18">
        <f t="shared" si="11"/>
        <v>0.124</v>
      </c>
      <c r="X39" s="21">
        <v>-11832.636481745963</v>
      </c>
      <c r="Y39" s="32">
        <f t="shared" si="11"/>
        <v>34491.841565579161</v>
      </c>
      <c r="Z39" s="21">
        <v>-11832.636481745963</v>
      </c>
      <c r="AA39" s="32">
        <f t="shared" si="11"/>
        <v>13025.453143077517</v>
      </c>
      <c r="AB39" s="21">
        <v>-11832.636481745963</v>
      </c>
      <c r="AC39" s="32">
        <f t="shared" si="11"/>
        <v>2540.3000000000002</v>
      </c>
      <c r="AD39" s="21">
        <v>-11832.636481745963</v>
      </c>
      <c r="AE39" s="33">
        <f t="shared" si="11"/>
        <v>2.9000000000000001E-2</v>
      </c>
      <c r="AF39" s="21">
        <v>-11832.636481745963</v>
      </c>
    </row>
    <row r="40" spans="1:32">
      <c r="A40" s="1">
        <v>2046</v>
      </c>
      <c r="B40" s="12">
        <f>B39*((B44/B39)^(1/5))</f>
        <v>241.69823385841983</v>
      </c>
      <c r="C40" s="12">
        <f t="shared" si="0"/>
        <v>185.38254536940801</v>
      </c>
      <c r="D40" s="12">
        <f t="shared" si="1"/>
        <v>14.678093114443106</v>
      </c>
      <c r="E40" s="12">
        <f>E39*((E44/E39)^(1/5))</f>
        <v>85.258792429477367</v>
      </c>
      <c r="F40" s="12">
        <f t="shared" si="2"/>
        <v>9.5489847521014646</v>
      </c>
      <c r="G40" s="12">
        <f t="shared" si="3"/>
        <v>194.93153012150947</v>
      </c>
      <c r="H40" s="12">
        <f t="shared" si="4"/>
        <v>99.936885543920468</v>
      </c>
      <c r="I40" s="13">
        <f t="shared" si="5"/>
        <v>4276.9883541318159</v>
      </c>
      <c r="J40" s="14">
        <f t="shared" si="6"/>
        <v>13025.453143077517</v>
      </c>
      <c r="K40" s="15">
        <f t="shared" si="7"/>
        <v>833.71988418279125</v>
      </c>
      <c r="L40" s="16">
        <f t="shared" si="8"/>
        <v>1301.7232199174368</v>
      </c>
      <c r="M40" s="17">
        <f t="shared" si="9"/>
        <v>-468.00333573464559</v>
      </c>
      <c r="N40" s="17">
        <f t="shared" si="10"/>
        <v>-8756.9910594648936</v>
      </c>
      <c r="P40" s="22">
        <v>0.01</v>
      </c>
      <c r="Q40" s="18">
        <f t="shared" si="11"/>
        <v>0.77466999999999997</v>
      </c>
      <c r="R40" s="21">
        <v>-11296.3813899947</v>
      </c>
      <c r="S40" s="18">
        <f t="shared" si="11"/>
        <v>0.11312</v>
      </c>
      <c r="T40" s="21">
        <v>-11809.450068396187</v>
      </c>
      <c r="U40" s="18">
        <f t="shared" si="11"/>
        <v>6.1609999999999998E-2</v>
      </c>
      <c r="V40" s="21">
        <v>-12020.224270158395</v>
      </c>
      <c r="W40" s="18">
        <f t="shared" si="11"/>
        <v>0.12523999999999999</v>
      </c>
      <c r="X40" s="21">
        <v>-11273.194976644925</v>
      </c>
      <c r="Y40" s="32">
        <f t="shared" si="11"/>
        <v>34836.759981234951</v>
      </c>
      <c r="Z40" s="21">
        <v>-11273.194976644911</v>
      </c>
      <c r="AA40" s="32">
        <f t="shared" si="11"/>
        <v>13155.707674508292</v>
      </c>
      <c r="AB40" s="21">
        <v>-12592.423522302983</v>
      </c>
      <c r="AC40" s="32">
        <f t="shared" si="11"/>
        <v>2565.7030000000004</v>
      </c>
      <c r="AD40" s="21">
        <v>-11750.617311107442</v>
      </c>
      <c r="AE40" s="33">
        <f t="shared" si="11"/>
        <v>2.929E-2</v>
      </c>
      <c r="AF40" s="21">
        <v>-11834.722662716073</v>
      </c>
    </row>
    <row r="41" spans="1:32">
      <c r="A41" s="1">
        <v>2047</v>
      </c>
      <c r="B41" s="12">
        <f>B39*((B44/B39)^(2/5))</f>
        <v>243.47645488648664</v>
      </c>
      <c r="C41" s="12">
        <f t="shared" si="0"/>
        <v>186.74644089793526</v>
      </c>
      <c r="D41" s="12">
        <f t="shared" si="1"/>
        <v>14.786082707132122</v>
      </c>
      <c r="E41" s="12">
        <f>E39*((E44/E39)^(2/5))</f>
        <v>86.069215763624939</v>
      </c>
      <c r="F41" s="12">
        <f t="shared" si="2"/>
        <v>9.6397521655259926</v>
      </c>
      <c r="G41" s="12">
        <f t="shared" si="3"/>
        <v>196.38619306346126</v>
      </c>
      <c r="H41" s="12">
        <f t="shared" si="4"/>
        <v>100.85529847075706</v>
      </c>
      <c r="I41" s="13">
        <f t="shared" si="5"/>
        <v>4276.9883541318159</v>
      </c>
      <c r="J41" s="14">
        <f t="shared" si="6"/>
        <v>13025.453143077517</v>
      </c>
      <c r="K41" s="15">
        <f t="shared" si="7"/>
        <v>839.94146064470624</v>
      </c>
      <c r="L41" s="16">
        <f t="shared" si="8"/>
        <v>1313.6859644619435</v>
      </c>
      <c r="M41" s="17">
        <f t="shared" si="9"/>
        <v>-473.74450381723727</v>
      </c>
      <c r="N41" s="17">
        <f t="shared" si="10"/>
        <v>-9484.6883040066114</v>
      </c>
      <c r="P41" s="22">
        <v>0.02</v>
      </c>
      <c r="Q41" s="18">
        <f t="shared" si="11"/>
        <v>0.78234000000000004</v>
      </c>
      <c r="R41" s="21">
        <v>-10760.126298243429</v>
      </c>
      <c r="S41" s="18">
        <f t="shared" si="11"/>
        <v>0.11424000000000001</v>
      </c>
      <c r="T41" s="21">
        <v>-11786.263655046405</v>
      </c>
      <c r="U41" s="18">
        <f t="shared" si="11"/>
        <v>6.2219999999999998E-2</v>
      </c>
      <c r="V41" s="21">
        <v>-12150.109770930598</v>
      </c>
      <c r="W41" s="18">
        <f t="shared" si="11"/>
        <v>0.12648000000000001</v>
      </c>
      <c r="X41" s="21">
        <v>-10713.753471543863</v>
      </c>
      <c r="Y41" s="32">
        <f t="shared" si="11"/>
        <v>35181.678396890748</v>
      </c>
      <c r="Z41" s="21">
        <v>-10713.753471543863</v>
      </c>
      <c r="AA41" s="32">
        <f t="shared" si="11"/>
        <v>13285.962205939068</v>
      </c>
      <c r="AB41" s="21">
        <v>-13352.210562860011</v>
      </c>
      <c r="AC41" s="32">
        <f t="shared" si="11"/>
        <v>2591.1060000000002</v>
      </c>
      <c r="AD41" s="21">
        <v>-11668.598140468925</v>
      </c>
      <c r="AE41" s="33">
        <f t="shared" si="11"/>
        <v>2.9580000000000002E-2</v>
      </c>
      <c r="AF41" s="21">
        <v>-11836.337164435123</v>
      </c>
    </row>
    <row r="42" spans="1:32">
      <c r="A42" s="1">
        <v>2048</v>
      </c>
      <c r="B42" s="12">
        <f>B39*((B44/B39)^(3/5))</f>
        <v>245.26775863333955</v>
      </c>
      <c r="C42" s="12">
        <f t="shared" si="0"/>
        <v>188.12037087177143</v>
      </c>
      <c r="D42" s="12">
        <f t="shared" si="1"/>
        <v>14.894866800308241</v>
      </c>
      <c r="E42" s="12">
        <f>E39*((E44/E39)^(3/5))</f>
        <v>86.887342537638546</v>
      </c>
      <c r="F42" s="12">
        <f t="shared" si="2"/>
        <v>9.7313823642155182</v>
      </c>
      <c r="G42" s="12">
        <f t="shared" si="3"/>
        <v>197.85175323598693</v>
      </c>
      <c r="H42" s="12">
        <f t="shared" si="4"/>
        <v>101.78220933794678</v>
      </c>
      <c r="I42" s="13">
        <f t="shared" si="5"/>
        <v>4276.9883541318159</v>
      </c>
      <c r="J42" s="14">
        <f t="shared" si="6"/>
        <v>13025.453143077517</v>
      </c>
      <c r="K42" s="15">
        <f t="shared" si="7"/>
        <v>846.20964443487787</v>
      </c>
      <c r="L42" s="16">
        <f t="shared" si="8"/>
        <v>1325.7593985303326</v>
      </c>
      <c r="M42" s="17">
        <f t="shared" si="9"/>
        <v>-479.54975409545477</v>
      </c>
      <c r="N42" s="17">
        <f t="shared" si="10"/>
        <v>-10239.294018918257</v>
      </c>
      <c r="P42" s="22">
        <v>0.03</v>
      </c>
      <c r="Q42" s="18">
        <f t="shared" si="11"/>
        <v>0.79000999999999999</v>
      </c>
      <c r="R42" s="21">
        <v>-10223.871206492164</v>
      </c>
      <c r="S42" s="18">
        <f t="shared" si="11"/>
        <v>0.11536</v>
      </c>
      <c r="T42" s="21">
        <v>-11763.07724169663</v>
      </c>
      <c r="U42" s="18">
        <f t="shared" si="11"/>
        <v>6.2829999999999997E-2</v>
      </c>
      <c r="V42" s="21">
        <v>-12279.995271702803</v>
      </c>
      <c r="W42" s="18">
        <f t="shared" si="11"/>
        <v>0.12772</v>
      </c>
      <c r="X42" s="21">
        <v>-10154.311966442832</v>
      </c>
      <c r="Y42" s="32">
        <f t="shared" si="11"/>
        <v>35526.596812546537</v>
      </c>
      <c r="Z42" s="21">
        <v>-10154.311966442832</v>
      </c>
      <c r="AA42" s="32">
        <f t="shared" si="11"/>
        <v>13416.216737369843</v>
      </c>
      <c r="AB42" s="21">
        <v>-14111.997603417039</v>
      </c>
      <c r="AC42" s="32">
        <f t="shared" si="11"/>
        <v>2616.5090000000005</v>
      </c>
      <c r="AD42" s="21">
        <v>-11586.578969830402</v>
      </c>
      <c r="AE42" s="33">
        <f t="shared" si="11"/>
        <v>2.9870000000000001E-2</v>
      </c>
      <c r="AF42" s="21">
        <v>-11837.472267900406</v>
      </c>
    </row>
    <row r="43" spans="1:32">
      <c r="A43" s="1">
        <v>2049</v>
      </c>
      <c r="B43" s="12">
        <f>B39*((B44/B39)^(4/5))</f>
        <v>247.07224135109124</v>
      </c>
      <c r="C43" s="12">
        <f t="shared" si="0"/>
        <v>189.50440911628698</v>
      </c>
      <c r="D43" s="12">
        <f t="shared" si="1"/>
        <v>15.004451239266441</v>
      </c>
      <c r="E43" s="12">
        <f>E39*((E44/E39)^(4/5))</f>
        <v>87.713245976193818</v>
      </c>
      <c r="F43" s="12">
        <f t="shared" si="2"/>
        <v>9.8238835493337078</v>
      </c>
      <c r="G43" s="12">
        <f t="shared" si="3"/>
        <v>199.32829266562069</v>
      </c>
      <c r="H43" s="12">
        <f t="shared" si="4"/>
        <v>102.71769721546026</v>
      </c>
      <c r="I43" s="13">
        <f t="shared" si="5"/>
        <v>4276.9883541318159</v>
      </c>
      <c r="J43" s="14">
        <f t="shared" si="6"/>
        <v>13025.453143077517</v>
      </c>
      <c r="K43" s="15">
        <f t="shared" si="7"/>
        <v>852.52478637983802</v>
      </c>
      <c r="L43" s="16">
        <f t="shared" si="8"/>
        <v>1337.9445520448016</v>
      </c>
      <c r="M43" s="17">
        <f t="shared" si="9"/>
        <v>-485.41976566496362</v>
      </c>
      <c r="N43" s="17">
        <f t="shared" si="10"/>
        <v>-11021.653311131849</v>
      </c>
      <c r="P43" s="22">
        <v>0.04</v>
      </c>
      <c r="Q43" s="18">
        <f t="shared" si="11"/>
        <v>0.79768000000000006</v>
      </c>
      <c r="R43" s="21">
        <v>-9687.6161147409002</v>
      </c>
      <c r="S43" s="18">
        <f t="shared" si="11"/>
        <v>0.11648</v>
      </c>
      <c r="T43" s="21">
        <v>-11739.890828346854</v>
      </c>
      <c r="U43" s="18">
        <f t="shared" si="11"/>
        <v>6.3439999999999996E-2</v>
      </c>
      <c r="V43" s="21">
        <v>-12409.880772475004</v>
      </c>
      <c r="W43" s="18">
        <f t="shared" si="11"/>
        <v>0.12895999999999999</v>
      </c>
      <c r="X43" s="21">
        <v>-9594.8704613417831</v>
      </c>
      <c r="Y43" s="32">
        <f t="shared" si="11"/>
        <v>35871.515228202326</v>
      </c>
      <c r="Z43" s="21">
        <v>-9594.8704613417831</v>
      </c>
      <c r="AA43" s="32">
        <f t="shared" si="11"/>
        <v>13546.471268800618</v>
      </c>
      <c r="AB43" s="21">
        <v>-14871.784643974053</v>
      </c>
      <c r="AC43" s="32">
        <f t="shared" si="11"/>
        <v>2641.9120000000003</v>
      </c>
      <c r="AD43" s="21">
        <v>-11504.559799191886</v>
      </c>
      <c r="AE43" s="33">
        <f t="shared" si="11"/>
        <v>3.0160000000000003E-2</v>
      </c>
      <c r="AF43" s="21">
        <v>-11838.120156476956</v>
      </c>
    </row>
    <row r="44" spans="1:32">
      <c r="A44" s="1">
        <v>2050</v>
      </c>
      <c r="B44" s="12">
        <v>248.89</v>
      </c>
      <c r="C44" s="12">
        <f t="shared" si="0"/>
        <v>190.89863</v>
      </c>
      <c r="D44" s="12">
        <f t="shared" si="1"/>
        <v>15.114841912306675</v>
      </c>
      <c r="E44" s="12">
        <v>88.546999999999997</v>
      </c>
      <c r="F44" s="12">
        <f t="shared" si="2"/>
        <v>9.9172639999999994</v>
      </c>
      <c r="G44" s="12">
        <f t="shared" si="3"/>
        <v>200.81589399999999</v>
      </c>
      <c r="H44" s="12">
        <f t="shared" si="4"/>
        <v>103.66184191230667</v>
      </c>
      <c r="I44" s="13">
        <f t="shared" si="5"/>
        <v>4276.9883541318159</v>
      </c>
      <c r="J44" s="14">
        <f t="shared" si="6"/>
        <v>13025.453143077517</v>
      </c>
      <c r="K44" s="15">
        <f t="shared" si="7"/>
        <v>858.88723996256908</v>
      </c>
      <c r="L44" s="16">
        <f t="shared" si="8"/>
        <v>1350.2424645538595</v>
      </c>
      <c r="M44" s="17">
        <f t="shared" si="9"/>
        <v>-491.35522459129038</v>
      </c>
      <c r="N44" s="17">
        <f t="shared" si="10"/>
        <v>-11832.636481745963</v>
      </c>
      <c r="P44" s="22">
        <v>0.05</v>
      </c>
      <c r="Q44" s="18">
        <f t="shared" si="11"/>
        <v>0.80535000000000001</v>
      </c>
      <c r="R44" s="21">
        <v>-9151.3610229896385</v>
      </c>
      <c r="S44" s="18">
        <f t="shared" si="11"/>
        <v>0.11760000000000001</v>
      </c>
      <c r="T44" s="21">
        <v>-11716.704414997073</v>
      </c>
      <c r="U44" s="18">
        <f t="shared" si="11"/>
        <v>6.4049999999999996E-2</v>
      </c>
      <c r="V44" s="21">
        <v>-12539.766273247209</v>
      </c>
      <c r="W44" s="18">
        <f t="shared" si="11"/>
        <v>0.13020000000000001</v>
      </c>
      <c r="X44" s="21">
        <v>-9035.4289562407375</v>
      </c>
      <c r="Y44" s="32">
        <f t="shared" si="11"/>
        <v>36216.433643858123</v>
      </c>
      <c r="Z44" s="21">
        <v>-9035.4289562407375</v>
      </c>
      <c r="AA44" s="32">
        <f t="shared" si="11"/>
        <v>13676.725800231394</v>
      </c>
      <c r="AB44" s="21">
        <v>-15631.571684531087</v>
      </c>
      <c r="AC44" s="32">
        <f t="shared" si="11"/>
        <v>2667.3150000000005</v>
      </c>
      <c r="AD44" s="21">
        <v>-11422.540628553365</v>
      </c>
      <c r="AE44" s="33">
        <f t="shared" si="11"/>
        <v>3.0450000000000001E-2</v>
      </c>
      <c r="AF44" s="21">
        <v>-11838.272914783724</v>
      </c>
    </row>
    <row r="45" spans="1:32">
      <c r="B45" s="23"/>
      <c r="C45" s="23"/>
      <c r="P45" s="22">
        <v>0.06</v>
      </c>
      <c r="Q45" s="18">
        <f t="shared" si="11"/>
        <v>0.81302000000000008</v>
      </c>
      <c r="R45" s="21">
        <v>-8615.1059312383622</v>
      </c>
      <c r="S45" s="18">
        <f t="shared" si="11"/>
        <v>0.11872000000000001</v>
      </c>
      <c r="T45" s="21">
        <v>-11693.518001647297</v>
      </c>
      <c r="U45" s="18">
        <f t="shared" si="11"/>
        <v>6.4659999999999995E-2</v>
      </c>
      <c r="V45" s="21">
        <v>-12669.651774019407</v>
      </c>
      <c r="W45" s="18">
        <f t="shared" si="11"/>
        <v>0.13144</v>
      </c>
      <c r="X45" s="21">
        <v>-8475.9874511397047</v>
      </c>
      <c r="Y45" s="32">
        <f t="shared" si="11"/>
        <v>36561.352059513913</v>
      </c>
      <c r="Z45" s="21">
        <v>-8475.9874511397047</v>
      </c>
      <c r="AA45" s="32">
        <f t="shared" si="11"/>
        <v>13806.980331662169</v>
      </c>
      <c r="AB45" s="21">
        <v>-16391.358725088099</v>
      </c>
      <c r="AC45" s="32">
        <f t="shared" si="11"/>
        <v>2692.7180000000003</v>
      </c>
      <c r="AD45" s="21">
        <v>-11340.521457914845</v>
      </c>
      <c r="AE45" s="33">
        <f t="shared" si="11"/>
        <v>3.0740000000000003E-2</v>
      </c>
      <c r="AF45" s="21">
        <v>-11837.922527567825</v>
      </c>
    </row>
    <row r="46" spans="1:32">
      <c r="B46" s="24"/>
      <c r="C46" s="23"/>
      <c r="P46" s="22">
        <v>7.0000000000000007E-2</v>
      </c>
      <c r="Q46" s="18">
        <f t="shared" si="11"/>
        <v>0.82069000000000003</v>
      </c>
      <c r="R46" s="21">
        <v>-8078.8508394871051</v>
      </c>
      <c r="S46" s="18">
        <f t="shared" si="11"/>
        <v>0.11984000000000002</v>
      </c>
      <c r="T46" s="21">
        <v>-11670.33158829752</v>
      </c>
      <c r="U46" s="18">
        <f t="shared" si="11"/>
        <v>6.5270000000000009E-2</v>
      </c>
      <c r="V46" s="21">
        <v>-12799.537274791617</v>
      </c>
      <c r="W46" s="18">
        <f t="shared" si="11"/>
        <v>0.13268000000000002</v>
      </c>
      <c r="X46" s="21">
        <v>-7916.5459460386446</v>
      </c>
      <c r="Y46" s="32">
        <f t="shared" si="11"/>
        <v>36906.270475169702</v>
      </c>
      <c r="Z46" s="21">
        <v>-7916.545946038651</v>
      </c>
      <c r="AA46" s="32">
        <f t="shared" si="11"/>
        <v>13937.234863092945</v>
      </c>
      <c r="AB46" s="21">
        <v>-17151.145765645128</v>
      </c>
      <c r="AC46" s="32">
        <f t="shared" si="11"/>
        <v>2718.1210000000005</v>
      </c>
      <c r="AD46" s="21">
        <v>-11258.502287276331</v>
      </c>
      <c r="AE46" s="33">
        <f t="shared" si="11"/>
        <v>3.1030000000000002E-2</v>
      </c>
      <c r="AF46" s="21">
        <v>-11837.060878566755</v>
      </c>
    </row>
    <row r="47" spans="1:32">
      <c r="B47" s="24"/>
      <c r="C47" s="23"/>
      <c r="P47" s="22">
        <v>0.08</v>
      </c>
      <c r="Q47" s="18">
        <f t="shared" si="11"/>
        <v>0.8283600000000001</v>
      </c>
      <c r="R47" s="21">
        <v>-7542.5957477358334</v>
      </c>
      <c r="S47" s="18">
        <f t="shared" si="11"/>
        <v>0.12096000000000001</v>
      </c>
      <c r="T47" s="21">
        <v>-11647.145174947733</v>
      </c>
      <c r="U47" s="18">
        <f t="shared" si="11"/>
        <v>6.5880000000000008E-2</v>
      </c>
      <c r="V47" s="21">
        <v>-12929.42277556382</v>
      </c>
      <c r="W47" s="18">
        <f t="shared" si="11"/>
        <v>0.13392000000000001</v>
      </c>
      <c r="X47" s="21">
        <v>-7357.1044409376073</v>
      </c>
      <c r="Y47" s="32">
        <f t="shared" si="11"/>
        <v>37251.188890825499</v>
      </c>
      <c r="Z47" s="21">
        <v>-7357.1044409376073</v>
      </c>
      <c r="AA47" s="32">
        <f t="shared" si="11"/>
        <v>14067.48939452372</v>
      </c>
      <c r="AB47" s="21">
        <v>-17910.932806202145</v>
      </c>
      <c r="AC47" s="32">
        <f t="shared" si="11"/>
        <v>2743.5240000000003</v>
      </c>
      <c r="AD47" s="21">
        <v>-11176.48311663781</v>
      </c>
      <c r="AE47" s="33">
        <f t="shared" si="11"/>
        <v>3.1320000000000001E-2</v>
      </c>
      <c r="AF47" s="21">
        <v>-11835.679749358376</v>
      </c>
    </row>
    <row r="48" spans="1:32">
      <c r="B48" s="24"/>
      <c r="C48" s="23"/>
      <c r="P48" s="22">
        <v>0.09</v>
      </c>
      <c r="Q48" s="18">
        <f t="shared" si="11"/>
        <v>0.83603000000000005</v>
      </c>
      <c r="R48" s="21">
        <v>-7006.3406559845725</v>
      </c>
      <c r="S48" s="18">
        <f t="shared" si="11"/>
        <v>0.12208000000000001</v>
      </c>
      <c r="T48" s="21">
        <v>-11623.958761597958</v>
      </c>
      <c r="U48" s="18">
        <f t="shared" si="11"/>
        <v>6.6490000000000007E-2</v>
      </c>
      <c r="V48" s="21">
        <v>-13059.308276336022</v>
      </c>
      <c r="W48" s="18">
        <f t="shared" si="11"/>
        <v>0.13516</v>
      </c>
      <c r="X48" s="21">
        <v>-6797.6629358365753</v>
      </c>
      <c r="Y48" s="32">
        <f t="shared" si="11"/>
        <v>37596.107306481288</v>
      </c>
      <c r="Z48" s="21">
        <v>-6797.6629358365562</v>
      </c>
      <c r="AA48" s="32">
        <f t="shared" si="11"/>
        <v>14197.743925954494</v>
      </c>
      <c r="AB48" s="21">
        <v>-18670.719846759162</v>
      </c>
      <c r="AC48" s="32">
        <f t="shared" si="11"/>
        <v>2768.9270000000006</v>
      </c>
      <c r="AD48" s="21">
        <v>-11094.463945999287</v>
      </c>
      <c r="AE48" s="33">
        <f t="shared" si="11"/>
        <v>3.1610000000000006E-2</v>
      </c>
      <c r="AF48" s="21">
        <v>-11833.770818198616</v>
      </c>
    </row>
    <row r="49" spans="2:32">
      <c r="B49" s="24"/>
      <c r="C49" s="23"/>
      <c r="P49" s="22">
        <v>0.1</v>
      </c>
      <c r="Q49" s="18">
        <f t="shared" si="11"/>
        <v>0.84370000000000012</v>
      </c>
      <c r="R49" s="21">
        <v>-6470.085564233299</v>
      </c>
      <c r="S49" s="18">
        <f t="shared" si="11"/>
        <v>0.12320000000000002</v>
      </c>
      <c r="T49" s="21">
        <v>-11600.772348248183</v>
      </c>
      <c r="U49" s="18">
        <f t="shared" si="11"/>
        <v>6.7100000000000007E-2</v>
      </c>
      <c r="V49" s="21">
        <v>-13189.193777108227</v>
      </c>
      <c r="W49" s="18">
        <f t="shared" si="11"/>
        <v>0.13640000000000002</v>
      </c>
      <c r="X49" s="21">
        <v>-6238.2214307355107</v>
      </c>
      <c r="Y49" s="32">
        <f t="shared" si="11"/>
        <v>37941.025722137078</v>
      </c>
      <c r="Z49" s="21">
        <v>-6238.221430735528</v>
      </c>
      <c r="AA49" s="32">
        <f t="shared" si="11"/>
        <v>14327.998457385269</v>
      </c>
      <c r="AB49" s="21">
        <v>-19430.506887316191</v>
      </c>
      <c r="AC49" s="32">
        <f t="shared" si="11"/>
        <v>2794.3300000000004</v>
      </c>
      <c r="AD49" s="21">
        <v>-11012.444775360773</v>
      </c>
      <c r="AE49" s="33">
        <f t="shared" si="11"/>
        <v>3.1900000000000005E-2</v>
      </c>
      <c r="AF49" s="21">
        <v>-11831.325658846707</v>
      </c>
    </row>
    <row r="50" spans="2:32">
      <c r="B50" s="24"/>
      <c r="C50" s="23"/>
      <c r="P50" s="1" t="s">
        <v>49</v>
      </c>
      <c r="Q50" s="18">
        <v>0.76700000000000002</v>
      </c>
      <c r="S50" s="18">
        <v>0.112</v>
      </c>
      <c r="U50" s="18">
        <v>6.0999999999999999E-2</v>
      </c>
      <c r="W50" s="18">
        <v>0.124</v>
      </c>
      <c r="Y50" s="14">
        <f>(667300000000/156021000)/12.4%</f>
        <v>34491.841565579161</v>
      </c>
      <c r="AA50" s="20">
        <f>675500000000/51860000</f>
        <v>13025.453143077517</v>
      </c>
      <c r="AC50" s="14">
        <v>2540.3000000000002</v>
      </c>
      <c r="AE50" s="19">
        <v>2.9000000000000001E-2</v>
      </c>
    </row>
    <row r="51" spans="2:32">
      <c r="B51" s="24"/>
      <c r="C51" s="25"/>
    </row>
    <row r="52" spans="2:32">
      <c r="B52" s="24"/>
      <c r="C52" s="23"/>
    </row>
    <row r="53" spans="2:32">
      <c r="B53" s="24"/>
      <c r="C53" s="23"/>
    </row>
    <row r="54" spans="2:32">
      <c r="B54" s="24"/>
      <c r="C54" s="23"/>
    </row>
    <row r="55" spans="2:32">
      <c r="B55" s="23"/>
      <c r="C55" s="23"/>
    </row>
  </sheetData>
  <mergeCells count="4">
    <mergeCell ref="B1:H1"/>
    <mergeCell ref="K1:N1"/>
    <mergeCell ref="B2:D2"/>
    <mergeCell ref="E2:F2"/>
  </mergeCells>
  <pageMargins left="0.75" right="0.75" top="1" bottom="1" header="0.5" footer="0.5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I13" sqref="I13"/>
    </sheetView>
  </sheetViews>
  <sheetFormatPr baseColWidth="10" defaultRowHeight="15" x14ac:dyDescent="0"/>
  <cols>
    <col min="1" max="1" width="5.1640625" bestFit="1" customWidth="1"/>
    <col min="2" max="2" width="4.33203125" bestFit="1" customWidth="1"/>
    <col min="3" max="3" width="6.1640625" bestFit="1" customWidth="1"/>
    <col min="4" max="4" width="21.1640625" bestFit="1" customWidth="1"/>
    <col min="5" max="5" width="16.33203125" bestFit="1" customWidth="1"/>
    <col min="6" max="6" width="19.83203125" bestFit="1" customWidth="1"/>
    <col min="8" max="8" width="13.1640625" customWidth="1"/>
  </cols>
  <sheetData>
    <row r="1" spans="1:10">
      <c r="A1" t="s">
        <v>10</v>
      </c>
      <c r="B1" t="s">
        <v>34</v>
      </c>
      <c r="C1" t="s">
        <v>35</v>
      </c>
      <c r="D1" t="s">
        <v>36</v>
      </c>
      <c r="E1" t="s">
        <v>37</v>
      </c>
      <c r="F1" t="s">
        <v>38</v>
      </c>
      <c r="H1" t="s">
        <v>39</v>
      </c>
    </row>
    <row r="2" spans="1:10">
      <c r="A2">
        <v>2013</v>
      </c>
      <c r="B2">
        <v>22</v>
      </c>
      <c r="C2" s="26">
        <v>60</v>
      </c>
      <c r="D2" s="26">
        <f t="shared" ref="D2:D19" si="0">C2*x</f>
        <v>9</v>
      </c>
      <c r="F2" s="26">
        <f>D2</f>
        <v>9</v>
      </c>
      <c r="H2" t="s">
        <v>40</v>
      </c>
      <c r="I2" s="27">
        <v>0.15</v>
      </c>
    </row>
    <row r="3" spans="1:10">
      <c r="A3">
        <v>2014</v>
      </c>
      <c r="B3">
        <v>23</v>
      </c>
      <c r="C3" s="26">
        <f>1.1*C2</f>
        <v>66</v>
      </c>
      <c r="D3" s="26">
        <f t="shared" si="0"/>
        <v>9.9</v>
      </c>
      <c r="F3" s="26">
        <f t="shared" ref="F3:F34" si="1">F2*(1+rate)+D3-E3</f>
        <v>19.53</v>
      </c>
      <c r="H3" t="s">
        <v>41</v>
      </c>
      <c r="I3" s="27">
        <v>7.0000000000000007E-2</v>
      </c>
    </row>
    <row r="4" spans="1:10">
      <c r="A4">
        <v>2015</v>
      </c>
      <c r="B4">
        <v>24</v>
      </c>
      <c r="C4" s="26">
        <f t="shared" ref="C4:C12" si="2">1.1*C3</f>
        <v>72.600000000000009</v>
      </c>
      <c r="D4" s="26">
        <f t="shared" si="0"/>
        <v>10.89</v>
      </c>
      <c r="F4" s="26">
        <f t="shared" si="1"/>
        <v>31.787100000000002</v>
      </c>
      <c r="H4" t="s">
        <v>44</v>
      </c>
      <c r="I4">
        <v>66</v>
      </c>
      <c r="J4" t="s">
        <v>45</v>
      </c>
    </row>
    <row r="5" spans="1:10">
      <c r="A5">
        <v>2016</v>
      </c>
      <c r="B5">
        <v>25</v>
      </c>
      <c r="C5" s="26">
        <f t="shared" si="2"/>
        <v>79.860000000000014</v>
      </c>
      <c r="D5" s="26">
        <f t="shared" si="0"/>
        <v>11.979000000000001</v>
      </c>
      <c r="F5" s="26">
        <f t="shared" si="1"/>
        <v>45.991197000000007</v>
      </c>
    </row>
    <row r="6" spans="1:10">
      <c r="A6">
        <v>2017</v>
      </c>
      <c r="B6">
        <v>26</v>
      </c>
      <c r="C6" s="26">
        <f t="shared" si="2"/>
        <v>87.846000000000018</v>
      </c>
      <c r="D6" s="26">
        <f t="shared" si="0"/>
        <v>13.176900000000002</v>
      </c>
      <c r="F6" s="26">
        <f t="shared" si="1"/>
        <v>62.387480790000012</v>
      </c>
      <c r="H6" s="29" t="s">
        <v>29</v>
      </c>
      <c r="I6" s="29" t="s">
        <v>43</v>
      </c>
    </row>
    <row r="7" spans="1:10">
      <c r="A7">
        <v>2018</v>
      </c>
      <c r="B7">
        <v>27</v>
      </c>
      <c r="C7" s="26">
        <f t="shared" si="2"/>
        <v>96.63060000000003</v>
      </c>
      <c r="D7" s="26">
        <f t="shared" si="0"/>
        <v>14.494590000000004</v>
      </c>
      <c r="F7" s="26">
        <f t="shared" si="1"/>
        <v>81.24919444530002</v>
      </c>
      <c r="H7" s="29" t="s">
        <v>31</v>
      </c>
      <c r="I7" s="29" t="s">
        <v>42</v>
      </c>
    </row>
    <row r="8" spans="1:10">
      <c r="A8">
        <v>2019</v>
      </c>
      <c r="B8">
        <v>28</v>
      </c>
      <c r="C8" s="26">
        <f t="shared" si="2"/>
        <v>106.29366000000005</v>
      </c>
      <c r="D8" s="26">
        <f t="shared" si="0"/>
        <v>15.944049000000007</v>
      </c>
      <c r="F8" s="26">
        <f t="shared" si="1"/>
        <v>102.88068705647103</v>
      </c>
      <c r="H8" s="29" t="s">
        <v>33</v>
      </c>
      <c r="I8" s="29" t="s">
        <v>46</v>
      </c>
    </row>
    <row r="9" spans="1:10">
      <c r="A9">
        <v>2020</v>
      </c>
      <c r="B9">
        <v>29</v>
      </c>
      <c r="C9" s="26">
        <f t="shared" si="2"/>
        <v>116.92302600000006</v>
      </c>
      <c r="D9" s="26">
        <f t="shared" si="0"/>
        <v>17.538453900000007</v>
      </c>
      <c r="F9" s="26">
        <f t="shared" si="1"/>
        <v>127.62078905042402</v>
      </c>
    </row>
    <row r="10" spans="1:10">
      <c r="A10">
        <v>2021</v>
      </c>
      <c r="B10">
        <v>30</v>
      </c>
      <c r="C10" s="26">
        <f t="shared" si="2"/>
        <v>128.61532860000008</v>
      </c>
      <c r="D10" s="26">
        <f t="shared" si="0"/>
        <v>19.292299290000013</v>
      </c>
      <c r="F10" s="26">
        <f t="shared" si="1"/>
        <v>155.84654357395374</v>
      </c>
    </row>
    <row r="11" spans="1:10">
      <c r="A11">
        <v>2022</v>
      </c>
      <c r="B11">
        <v>31</v>
      </c>
      <c r="C11" s="26">
        <f>1.1*C10</f>
        <v>141.47686146000009</v>
      </c>
      <c r="D11" s="26">
        <f t="shared" si="0"/>
        <v>21.221529219000015</v>
      </c>
      <c r="F11" s="26">
        <f t="shared" si="1"/>
        <v>187.97733084313052</v>
      </c>
    </row>
    <row r="12" spans="1:10">
      <c r="A12">
        <v>2023</v>
      </c>
      <c r="B12">
        <v>32</v>
      </c>
      <c r="C12" s="26">
        <f t="shared" si="2"/>
        <v>155.62454760600011</v>
      </c>
      <c r="D12" s="26">
        <f t="shared" si="0"/>
        <v>23.343682140900015</v>
      </c>
      <c r="F12" s="26">
        <f t="shared" si="1"/>
        <v>224.47942614304969</v>
      </c>
    </row>
    <row r="13" spans="1:10">
      <c r="A13">
        <v>2024</v>
      </c>
      <c r="B13">
        <v>33</v>
      </c>
      <c r="C13" s="26">
        <f>C12*1.05</f>
        <v>163.40577498630012</v>
      </c>
      <c r="D13" s="26">
        <f t="shared" si="0"/>
        <v>24.510866247945017</v>
      </c>
      <c r="F13" s="26">
        <f t="shared" si="1"/>
        <v>264.70385222100822</v>
      </c>
    </row>
    <row r="14" spans="1:10">
      <c r="A14">
        <v>2025</v>
      </c>
      <c r="B14">
        <v>34</v>
      </c>
      <c r="C14" s="26">
        <f t="shared" ref="C14:C45" si="3">C13*1.05</f>
        <v>171.57606373561512</v>
      </c>
      <c r="D14" s="26">
        <f t="shared" si="0"/>
        <v>25.736409560342267</v>
      </c>
      <c r="F14" s="26">
        <f t="shared" si="1"/>
        <v>308.96953143682111</v>
      </c>
    </row>
    <row r="15" spans="1:10">
      <c r="A15">
        <v>2026</v>
      </c>
      <c r="B15">
        <v>35</v>
      </c>
      <c r="C15" s="26">
        <f t="shared" si="3"/>
        <v>180.15486692239588</v>
      </c>
      <c r="D15" s="26">
        <f t="shared" si="0"/>
        <v>27.023230038359383</v>
      </c>
      <c r="F15" s="26">
        <f t="shared" si="1"/>
        <v>357.62062867575798</v>
      </c>
    </row>
    <row r="16" spans="1:10">
      <c r="A16">
        <v>2027</v>
      </c>
      <c r="B16">
        <v>36</v>
      </c>
      <c r="C16" s="26">
        <f t="shared" si="3"/>
        <v>189.16261026851569</v>
      </c>
      <c r="D16" s="26">
        <f t="shared" si="0"/>
        <v>28.374391540277355</v>
      </c>
      <c r="F16" s="26">
        <f t="shared" si="1"/>
        <v>411.02846422333846</v>
      </c>
    </row>
    <row r="17" spans="1:6">
      <c r="A17">
        <v>2028</v>
      </c>
      <c r="B17">
        <v>37</v>
      </c>
      <c r="C17" s="26">
        <f t="shared" si="3"/>
        <v>198.62074078194149</v>
      </c>
      <c r="D17" s="26">
        <f t="shared" si="0"/>
        <v>29.793111117291222</v>
      </c>
      <c r="F17" s="26">
        <f t="shared" si="1"/>
        <v>469.59356783626339</v>
      </c>
    </row>
    <row r="18" spans="1:6">
      <c r="A18">
        <v>2029</v>
      </c>
      <c r="B18">
        <v>38</v>
      </c>
      <c r="C18" s="26">
        <f t="shared" si="3"/>
        <v>208.55177782103857</v>
      </c>
      <c r="D18" s="26">
        <f t="shared" si="0"/>
        <v>31.282766673155784</v>
      </c>
      <c r="F18" s="26">
        <f t="shared" si="1"/>
        <v>533.74788425795771</v>
      </c>
    </row>
    <row r="19" spans="1:6">
      <c r="A19">
        <v>2030</v>
      </c>
      <c r="B19">
        <v>39</v>
      </c>
      <c r="C19" s="26">
        <f t="shared" si="3"/>
        <v>218.9793667120905</v>
      </c>
      <c r="D19" s="26">
        <f t="shared" si="0"/>
        <v>32.846905006813572</v>
      </c>
      <c r="F19" s="26">
        <f t="shared" si="1"/>
        <v>603.95714116282841</v>
      </c>
    </row>
    <row r="20" spans="1:6">
      <c r="A20">
        <v>2031</v>
      </c>
      <c r="B20">
        <v>40</v>
      </c>
      <c r="C20" s="26">
        <f t="shared" si="3"/>
        <v>229.92833504769504</v>
      </c>
      <c r="D20" s="26">
        <f t="shared" ref="D20:D62" si="4">IF(age&lt;retirement_age,C20*x,0)</f>
        <v>34.489250257154254</v>
      </c>
      <c r="F20" s="26">
        <f t="shared" si="1"/>
        <v>680.72339130138073</v>
      </c>
    </row>
    <row r="21" spans="1:6">
      <c r="A21">
        <v>2032</v>
      </c>
      <c r="B21">
        <v>41</v>
      </c>
      <c r="C21" s="26">
        <f t="shared" si="3"/>
        <v>241.4247518000798</v>
      </c>
      <c r="D21" s="26">
        <f t="shared" si="4"/>
        <v>36.213712770011966</v>
      </c>
      <c r="F21" s="26">
        <f t="shared" si="1"/>
        <v>764.58774146248936</v>
      </c>
    </row>
    <row r="22" spans="1:6">
      <c r="A22">
        <v>2033</v>
      </c>
      <c r="B22">
        <v>42</v>
      </c>
      <c r="C22" s="26">
        <f t="shared" si="3"/>
        <v>253.49598939008379</v>
      </c>
      <c r="D22" s="26">
        <f t="shared" si="4"/>
        <v>38.024398408512567</v>
      </c>
      <c r="F22" s="26">
        <f t="shared" si="1"/>
        <v>856.13328177337621</v>
      </c>
    </row>
    <row r="23" spans="1:6">
      <c r="A23">
        <v>2034</v>
      </c>
      <c r="B23">
        <v>43</v>
      </c>
      <c r="C23" s="26">
        <f t="shared" si="3"/>
        <v>266.17078885958801</v>
      </c>
      <c r="D23" s="26">
        <f t="shared" si="4"/>
        <v>39.925618328938199</v>
      </c>
      <c r="E23">
        <f t="shared" ref="E23:E62" si="5">IF(age&gt;=retirement_age,80,0)</f>
        <v>0</v>
      </c>
      <c r="F23" s="26">
        <f t="shared" si="1"/>
        <v>955.98822982645083</v>
      </c>
    </row>
    <row r="24" spans="1:6">
      <c r="A24">
        <v>2035</v>
      </c>
      <c r="B24">
        <v>44</v>
      </c>
      <c r="C24" s="26">
        <f t="shared" si="3"/>
        <v>279.47932830256741</v>
      </c>
      <c r="D24" s="26">
        <f t="shared" si="4"/>
        <v>41.921899245385113</v>
      </c>
      <c r="E24">
        <f t="shared" si="5"/>
        <v>0</v>
      </c>
      <c r="F24" s="26">
        <f t="shared" si="1"/>
        <v>1064.8293051596875</v>
      </c>
    </row>
    <row r="25" spans="1:6">
      <c r="A25">
        <v>2036</v>
      </c>
      <c r="B25">
        <v>45</v>
      </c>
      <c r="C25" s="26">
        <f t="shared" si="3"/>
        <v>293.45329471769577</v>
      </c>
      <c r="D25" s="26">
        <f t="shared" si="4"/>
        <v>44.017994207654361</v>
      </c>
      <c r="E25">
        <f t="shared" si="5"/>
        <v>0</v>
      </c>
      <c r="F25" s="26">
        <f t="shared" si="1"/>
        <v>1183.3853507285198</v>
      </c>
    </row>
    <row r="26" spans="1:6">
      <c r="A26">
        <v>2037</v>
      </c>
      <c r="B26">
        <v>46</v>
      </c>
      <c r="C26" s="26">
        <f t="shared" si="3"/>
        <v>308.12595945358055</v>
      </c>
      <c r="D26" s="26">
        <f t="shared" si="4"/>
        <v>46.218893918037082</v>
      </c>
      <c r="E26">
        <f t="shared" si="5"/>
        <v>0</v>
      </c>
      <c r="F26" s="26">
        <f t="shared" si="1"/>
        <v>1312.4412191975534</v>
      </c>
    </row>
    <row r="27" spans="1:6">
      <c r="A27">
        <v>2038</v>
      </c>
      <c r="B27">
        <v>47</v>
      </c>
      <c r="C27" s="26">
        <f t="shared" si="3"/>
        <v>323.5322574262596</v>
      </c>
      <c r="D27" s="26">
        <f t="shared" si="4"/>
        <v>48.529838613938942</v>
      </c>
      <c r="E27">
        <f t="shared" si="5"/>
        <v>0</v>
      </c>
      <c r="F27" s="26">
        <f t="shared" si="1"/>
        <v>1452.8419431553211</v>
      </c>
    </row>
    <row r="28" spans="1:6">
      <c r="A28">
        <v>2039</v>
      </c>
      <c r="B28">
        <v>48</v>
      </c>
      <c r="C28" s="26">
        <f t="shared" si="3"/>
        <v>339.70887029757262</v>
      </c>
      <c r="D28" s="26">
        <f t="shared" si="4"/>
        <v>50.95633054463589</v>
      </c>
      <c r="E28">
        <f t="shared" si="5"/>
        <v>0</v>
      </c>
      <c r="F28" s="26">
        <f t="shared" si="1"/>
        <v>1605.4972097208297</v>
      </c>
    </row>
    <row r="29" spans="1:6">
      <c r="A29">
        <v>2040</v>
      </c>
      <c r="B29">
        <v>49</v>
      </c>
      <c r="C29" s="26">
        <f t="shared" si="3"/>
        <v>356.69431381245124</v>
      </c>
      <c r="D29" s="26">
        <f t="shared" si="4"/>
        <v>53.504147071867685</v>
      </c>
      <c r="E29">
        <f t="shared" si="5"/>
        <v>0</v>
      </c>
      <c r="F29" s="26">
        <f t="shared" si="1"/>
        <v>1771.3861614731557</v>
      </c>
    </row>
    <row r="30" spans="1:6">
      <c r="A30">
        <v>2041</v>
      </c>
      <c r="B30">
        <v>50</v>
      </c>
      <c r="C30" s="26">
        <f t="shared" si="3"/>
        <v>374.52902950307384</v>
      </c>
      <c r="D30" s="26">
        <f t="shared" si="4"/>
        <v>56.179354425461078</v>
      </c>
      <c r="E30">
        <f t="shared" si="5"/>
        <v>0</v>
      </c>
      <c r="F30" s="26">
        <f t="shared" si="1"/>
        <v>1951.5625472017377</v>
      </c>
    </row>
    <row r="31" spans="1:6">
      <c r="A31">
        <v>2042</v>
      </c>
      <c r="B31">
        <v>51</v>
      </c>
      <c r="C31" s="26">
        <f t="shared" si="3"/>
        <v>393.25548097822752</v>
      </c>
      <c r="D31" s="26">
        <f t="shared" si="4"/>
        <v>58.988322146734127</v>
      </c>
      <c r="E31">
        <f t="shared" si="5"/>
        <v>0</v>
      </c>
      <c r="F31" s="26">
        <f t="shared" si="1"/>
        <v>2147.1602476525936</v>
      </c>
    </row>
    <row r="32" spans="1:6">
      <c r="A32">
        <v>2043</v>
      </c>
      <c r="B32">
        <v>52</v>
      </c>
      <c r="C32" s="26">
        <f t="shared" si="3"/>
        <v>412.91825502713891</v>
      </c>
      <c r="D32" s="26">
        <f t="shared" si="4"/>
        <v>61.937738254070837</v>
      </c>
      <c r="E32">
        <f t="shared" si="5"/>
        <v>0</v>
      </c>
      <c r="F32" s="26">
        <f t="shared" si="1"/>
        <v>2359.3992032423457</v>
      </c>
    </row>
    <row r="33" spans="1:6">
      <c r="A33">
        <v>2044</v>
      </c>
      <c r="B33">
        <v>53</v>
      </c>
      <c r="C33" s="26">
        <f t="shared" si="3"/>
        <v>433.56416777849586</v>
      </c>
      <c r="D33" s="26">
        <f t="shared" si="4"/>
        <v>65.034625166774376</v>
      </c>
      <c r="E33">
        <f t="shared" si="5"/>
        <v>0</v>
      </c>
      <c r="F33" s="26">
        <f t="shared" si="1"/>
        <v>2589.5917726360844</v>
      </c>
    </row>
    <row r="34" spans="1:6">
      <c r="A34">
        <v>2045</v>
      </c>
      <c r="B34">
        <v>54</v>
      </c>
      <c r="C34" s="26">
        <f t="shared" si="3"/>
        <v>455.24237616742067</v>
      </c>
      <c r="D34" s="26">
        <f t="shared" si="4"/>
        <v>68.286356425113098</v>
      </c>
      <c r="E34">
        <f t="shared" si="5"/>
        <v>0</v>
      </c>
      <c r="F34" s="26">
        <f t="shared" si="1"/>
        <v>2839.1495531457235</v>
      </c>
    </row>
    <row r="35" spans="1:6">
      <c r="A35">
        <v>2046</v>
      </c>
      <c r="B35">
        <v>55</v>
      </c>
      <c r="C35" s="26">
        <f t="shared" si="3"/>
        <v>478.00449497579172</v>
      </c>
      <c r="D35" s="26">
        <f t="shared" si="4"/>
        <v>71.700674246368749</v>
      </c>
      <c r="E35">
        <f t="shared" si="5"/>
        <v>0</v>
      </c>
      <c r="F35" s="26">
        <f t="shared" ref="F35:F66" si="6">F34*(1+rate)+D35-E35</f>
        <v>3109.5906961122928</v>
      </c>
    </row>
    <row r="36" spans="1:6">
      <c r="A36">
        <v>2047</v>
      </c>
      <c r="B36">
        <v>56</v>
      </c>
      <c r="C36" s="26">
        <f t="shared" si="3"/>
        <v>501.9047197245813</v>
      </c>
      <c r="D36" s="26">
        <f t="shared" si="4"/>
        <v>75.285707958687198</v>
      </c>
      <c r="E36">
        <f t="shared" si="5"/>
        <v>0</v>
      </c>
      <c r="F36" s="26">
        <f t="shared" si="6"/>
        <v>3402.5477527988405</v>
      </c>
    </row>
    <row r="37" spans="1:6">
      <c r="A37">
        <v>2048</v>
      </c>
      <c r="B37">
        <v>57</v>
      </c>
      <c r="C37" s="26">
        <f t="shared" si="3"/>
        <v>526.99995571081035</v>
      </c>
      <c r="D37" s="26">
        <f t="shared" si="4"/>
        <v>79.049993356621556</v>
      </c>
      <c r="E37">
        <f t="shared" si="5"/>
        <v>0</v>
      </c>
      <c r="F37" s="26">
        <f t="shared" si="6"/>
        <v>3719.7760888513812</v>
      </c>
    </row>
    <row r="38" spans="1:6">
      <c r="A38">
        <v>2049</v>
      </c>
      <c r="B38">
        <v>58</v>
      </c>
      <c r="C38" s="26">
        <f t="shared" si="3"/>
        <v>553.34995349635085</v>
      </c>
      <c r="D38" s="26">
        <f t="shared" si="4"/>
        <v>83.002493024452619</v>
      </c>
      <c r="E38">
        <f t="shared" si="5"/>
        <v>0</v>
      </c>
      <c r="F38" s="26">
        <f t="shared" si="6"/>
        <v>4063.1629080954308</v>
      </c>
    </row>
    <row r="39" spans="1:6">
      <c r="A39">
        <v>2050</v>
      </c>
      <c r="B39">
        <v>59</v>
      </c>
      <c r="C39" s="26">
        <f t="shared" si="3"/>
        <v>581.01745117116843</v>
      </c>
      <c r="D39" s="26">
        <f t="shared" si="4"/>
        <v>87.152617675675259</v>
      </c>
      <c r="E39">
        <f t="shared" si="5"/>
        <v>0</v>
      </c>
      <c r="F39" s="26">
        <f t="shared" si="6"/>
        <v>4434.736929337786</v>
      </c>
    </row>
    <row r="40" spans="1:6">
      <c r="A40">
        <v>2051</v>
      </c>
      <c r="B40">
        <v>60</v>
      </c>
      <c r="C40" s="26">
        <f t="shared" si="3"/>
        <v>610.0683237297269</v>
      </c>
      <c r="D40" s="26">
        <f t="shared" si="4"/>
        <v>91.510248559459029</v>
      </c>
      <c r="E40">
        <f t="shared" si="5"/>
        <v>0</v>
      </c>
      <c r="F40" s="26">
        <f t="shared" si="6"/>
        <v>4836.6787629508899</v>
      </c>
    </row>
    <row r="41" spans="1:6">
      <c r="A41">
        <v>2052</v>
      </c>
      <c r="B41">
        <v>61</v>
      </c>
      <c r="C41" s="26">
        <f t="shared" si="3"/>
        <v>640.57173991621323</v>
      </c>
      <c r="D41" s="26">
        <f t="shared" si="4"/>
        <v>96.085760987431982</v>
      </c>
      <c r="E41">
        <f t="shared" si="5"/>
        <v>0</v>
      </c>
      <c r="F41" s="26">
        <f t="shared" si="6"/>
        <v>5271.3320373448842</v>
      </c>
    </row>
    <row r="42" spans="1:6">
      <c r="A42">
        <v>2053</v>
      </c>
      <c r="B42">
        <v>62</v>
      </c>
      <c r="C42" s="26">
        <f t="shared" si="3"/>
        <v>672.60032691202389</v>
      </c>
      <c r="D42" s="26">
        <f t="shared" si="4"/>
        <v>100.89004903680357</v>
      </c>
      <c r="E42">
        <f t="shared" si="5"/>
        <v>0</v>
      </c>
      <c r="F42" s="26">
        <f t="shared" si="6"/>
        <v>5741.2153289958296</v>
      </c>
    </row>
    <row r="43" spans="1:6">
      <c r="A43">
        <v>2054</v>
      </c>
      <c r="B43">
        <v>63</v>
      </c>
      <c r="C43" s="26">
        <f t="shared" si="3"/>
        <v>706.23034325762512</v>
      </c>
      <c r="D43" s="26">
        <f t="shared" si="4"/>
        <v>105.93455148864376</v>
      </c>
      <c r="E43">
        <f t="shared" si="5"/>
        <v>0</v>
      </c>
      <c r="F43" s="26">
        <f t="shared" si="6"/>
        <v>6249.0349535141813</v>
      </c>
    </row>
    <row r="44" spans="1:6">
      <c r="A44">
        <v>2055</v>
      </c>
      <c r="B44">
        <v>64</v>
      </c>
      <c r="C44" s="26">
        <f t="shared" si="3"/>
        <v>741.5418604205064</v>
      </c>
      <c r="D44" s="26">
        <f t="shared" si="4"/>
        <v>111.23127906307596</v>
      </c>
      <c r="E44">
        <f t="shared" si="5"/>
        <v>0</v>
      </c>
      <c r="F44" s="26">
        <f t="shared" si="6"/>
        <v>6797.69867932325</v>
      </c>
    </row>
    <row r="45" spans="1:6">
      <c r="A45">
        <v>2056</v>
      </c>
      <c r="B45">
        <v>65</v>
      </c>
      <c r="C45" s="26">
        <f t="shared" si="3"/>
        <v>778.61895344153174</v>
      </c>
      <c r="D45" s="26">
        <f t="shared" si="4"/>
        <v>116.79284301622975</v>
      </c>
      <c r="E45">
        <f t="shared" si="5"/>
        <v>0</v>
      </c>
      <c r="F45" s="26">
        <f t="shared" si="6"/>
        <v>7390.3304298921084</v>
      </c>
    </row>
    <row r="46" spans="1:6">
      <c r="A46">
        <v>2057</v>
      </c>
      <c r="B46">
        <v>66</v>
      </c>
      <c r="D46" s="26">
        <f t="shared" si="4"/>
        <v>0</v>
      </c>
      <c r="E46">
        <f t="shared" si="5"/>
        <v>80</v>
      </c>
      <c r="F46" s="26">
        <f t="shared" si="6"/>
        <v>7827.6535599845565</v>
      </c>
    </row>
    <row r="47" spans="1:6">
      <c r="A47">
        <v>2058</v>
      </c>
      <c r="B47">
        <v>67</v>
      </c>
      <c r="D47" s="26">
        <f t="shared" si="4"/>
        <v>0</v>
      </c>
      <c r="E47">
        <f t="shared" si="5"/>
        <v>80</v>
      </c>
      <c r="F47" s="26">
        <f t="shared" si="6"/>
        <v>8295.5893091834769</v>
      </c>
    </row>
    <row r="48" spans="1:6">
      <c r="A48">
        <v>2059</v>
      </c>
      <c r="B48">
        <v>68</v>
      </c>
      <c r="D48" s="26">
        <f t="shared" si="4"/>
        <v>0</v>
      </c>
      <c r="E48">
        <f t="shared" si="5"/>
        <v>80</v>
      </c>
      <c r="F48" s="26">
        <f t="shared" si="6"/>
        <v>8796.2805608263207</v>
      </c>
    </row>
    <row r="49" spans="1:6">
      <c r="A49">
        <v>2060</v>
      </c>
      <c r="B49">
        <v>69</v>
      </c>
      <c r="D49" s="26">
        <f t="shared" si="4"/>
        <v>0</v>
      </c>
      <c r="E49">
        <f t="shared" si="5"/>
        <v>80</v>
      </c>
      <c r="F49" s="26">
        <f t="shared" si="6"/>
        <v>9332.0202000841637</v>
      </c>
    </row>
    <row r="50" spans="1:6">
      <c r="A50">
        <v>2061</v>
      </c>
      <c r="B50">
        <v>70</v>
      </c>
      <c r="D50" s="26">
        <f t="shared" si="4"/>
        <v>0</v>
      </c>
      <c r="E50">
        <f t="shared" si="5"/>
        <v>80</v>
      </c>
      <c r="F50" s="26">
        <f t="shared" si="6"/>
        <v>9905.2616140900554</v>
      </c>
    </row>
    <row r="51" spans="1:6">
      <c r="A51">
        <v>2062</v>
      </c>
      <c r="B51">
        <v>71</v>
      </c>
      <c r="D51" s="26">
        <f t="shared" si="4"/>
        <v>0</v>
      </c>
      <c r="E51">
        <f t="shared" si="5"/>
        <v>80</v>
      </c>
      <c r="F51" s="26">
        <f t="shared" si="6"/>
        <v>10518.629927076359</v>
      </c>
    </row>
    <row r="52" spans="1:6">
      <c r="A52">
        <v>2063</v>
      </c>
      <c r="B52">
        <v>72</v>
      </c>
      <c r="D52" s="26">
        <f t="shared" si="4"/>
        <v>0</v>
      </c>
      <c r="E52">
        <f t="shared" si="5"/>
        <v>80</v>
      </c>
      <c r="F52" s="26">
        <f t="shared" si="6"/>
        <v>11174.934021971705</v>
      </c>
    </row>
    <row r="53" spans="1:6">
      <c r="A53">
        <v>2064</v>
      </c>
      <c r="B53">
        <v>73</v>
      </c>
      <c r="D53" s="26">
        <f t="shared" si="4"/>
        <v>0</v>
      </c>
      <c r="E53">
        <f t="shared" si="5"/>
        <v>80</v>
      </c>
      <c r="F53" s="26">
        <f t="shared" si="6"/>
        <v>11877.179403509725</v>
      </c>
    </row>
    <row r="54" spans="1:6">
      <c r="A54">
        <v>2065</v>
      </c>
      <c r="B54">
        <v>74</v>
      </c>
      <c r="D54" s="26">
        <f t="shared" si="4"/>
        <v>0</v>
      </c>
      <c r="E54">
        <f t="shared" si="5"/>
        <v>80</v>
      </c>
      <c r="F54" s="26">
        <f t="shared" si="6"/>
        <v>12628.581961755406</v>
      </c>
    </row>
    <row r="55" spans="1:6">
      <c r="A55">
        <v>2066</v>
      </c>
      <c r="B55">
        <v>75</v>
      </c>
      <c r="D55" s="26">
        <f t="shared" si="4"/>
        <v>0</v>
      </c>
      <c r="E55">
        <f t="shared" si="5"/>
        <v>80</v>
      </c>
      <c r="F55" s="26">
        <f t="shared" si="6"/>
        <v>13432.582699078286</v>
      </c>
    </row>
    <row r="56" spans="1:6">
      <c r="A56">
        <v>2067</v>
      </c>
      <c r="B56">
        <v>76</v>
      </c>
      <c r="D56" s="26">
        <f t="shared" si="4"/>
        <v>0</v>
      </c>
      <c r="E56">
        <f t="shared" si="5"/>
        <v>80</v>
      </c>
      <c r="F56" s="26">
        <f t="shared" si="6"/>
        <v>14292.863488013767</v>
      </c>
    </row>
    <row r="57" spans="1:6">
      <c r="A57">
        <v>2068</v>
      </c>
      <c r="B57">
        <v>77</v>
      </c>
      <c r="D57" s="26">
        <f t="shared" si="4"/>
        <v>0</v>
      </c>
      <c r="E57">
        <f t="shared" si="5"/>
        <v>80</v>
      </c>
      <c r="F57" s="26">
        <f t="shared" si="6"/>
        <v>15213.363932174732</v>
      </c>
    </row>
    <row r="58" spans="1:6">
      <c r="A58">
        <v>2069</v>
      </c>
      <c r="B58">
        <v>78</v>
      </c>
      <c r="D58" s="26">
        <f t="shared" si="4"/>
        <v>0</v>
      </c>
      <c r="E58">
        <f t="shared" si="5"/>
        <v>80</v>
      </c>
      <c r="F58" s="26">
        <f t="shared" si="6"/>
        <v>16198.299407426965</v>
      </c>
    </row>
    <row r="59" spans="1:6">
      <c r="A59">
        <v>2070</v>
      </c>
      <c r="B59">
        <v>79</v>
      </c>
      <c r="D59" s="26">
        <f t="shared" si="4"/>
        <v>0</v>
      </c>
      <c r="E59">
        <f t="shared" si="5"/>
        <v>80</v>
      </c>
      <c r="F59" s="26">
        <f t="shared" si="6"/>
        <v>17252.180365946853</v>
      </c>
    </row>
    <row r="60" spans="1:6">
      <c r="A60">
        <v>2071</v>
      </c>
      <c r="B60">
        <v>80</v>
      </c>
      <c r="D60" s="26">
        <f t="shared" si="4"/>
        <v>0</v>
      </c>
      <c r="E60">
        <f t="shared" si="5"/>
        <v>80</v>
      </c>
      <c r="F60" s="26">
        <f t="shared" si="6"/>
        <v>18379.832991563133</v>
      </c>
    </row>
    <row r="61" spans="1:6">
      <c r="A61">
        <v>2072</v>
      </c>
      <c r="B61">
        <v>81</v>
      </c>
      <c r="D61" s="26">
        <f t="shared" si="4"/>
        <v>0</v>
      </c>
      <c r="E61">
        <f t="shared" si="5"/>
        <v>80</v>
      </c>
      <c r="F61" s="26">
        <f t="shared" si="6"/>
        <v>19586.421300972554</v>
      </c>
    </row>
    <row r="62" spans="1:6">
      <c r="A62">
        <v>2073</v>
      </c>
      <c r="B62">
        <v>82</v>
      </c>
      <c r="D62" s="26">
        <f t="shared" si="4"/>
        <v>0</v>
      </c>
      <c r="E62">
        <f t="shared" si="5"/>
        <v>80</v>
      </c>
      <c r="F62" s="26">
        <f t="shared" si="6"/>
        <v>20877.470792040633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1</vt:lpstr>
      <vt:lpstr>2</vt:lpstr>
      <vt:lpstr>3</vt:lpstr>
      <vt:lpstr>2c Chart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</dc:creator>
  <cp:lastModifiedBy>Benjamin</cp:lastModifiedBy>
  <dcterms:created xsi:type="dcterms:W3CDTF">2012-10-01T23:20:47Z</dcterms:created>
  <dcterms:modified xsi:type="dcterms:W3CDTF">2012-10-03T19:10:55Z</dcterms:modified>
</cp:coreProperties>
</file>