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0" yWindow="0" windowWidth="25520" windowHeight="15560"/>
  </bookViews>
  <sheets>
    <sheet name="Projections" sheetId="1" r:id="rId1"/>
  </sheets>
  <definedNames>
    <definedName name="age">#REF!</definedName>
    <definedName name="assets">#REF!</definedName>
    <definedName name="assets2009">Projections!$P$10</definedName>
    <definedName name="average_benefits">Projections!$P$9</definedName>
    <definedName name="average_earnings">Projections!$P$8</definedName>
    <definedName name="beneficiaries">Projections!$H:$H</definedName>
    <definedName name="benefit_each">Projections!$J:$J</definedName>
    <definedName name="cash">#REF!</definedName>
    <definedName name="cashflow">Projections!$M:$M</definedName>
    <definedName name="contributions">#REF!</definedName>
    <definedName name="disabilityrate">Projections!$P$6</definedName>
    <definedName name="disabled">Projections!$D:$D</definedName>
    <definedName name="discount">#REF!</definedName>
    <definedName name="flow">#REF!</definedName>
    <definedName name="FV">#REF!</definedName>
    <definedName name="growth">#REF!</definedName>
    <definedName name="npv">#REF!</definedName>
    <definedName name="NPVtoDate">#REF!</definedName>
    <definedName name="nyears">#REF!</definedName>
    <definedName name="oldpop">Projections!$E:$E</definedName>
    <definedName name="oldworkers">Projections!$F:$F</definedName>
    <definedName name="oldworkrate">Projections!$P$5</definedName>
    <definedName name="retirees">Projections!#REF!</definedName>
    <definedName name="retirementage">#REF!</definedName>
    <definedName name="return">Projections!$P$11</definedName>
    <definedName name="tax_each">Projections!$I:$I</definedName>
    <definedName name="taxrate">Projections!$P$7</definedName>
    <definedName name="totalbenefits">Projections!$L:$L</definedName>
    <definedName name="totaltaxes">Projections!$K:$K</definedName>
    <definedName name="withdrawals">#REF!</definedName>
    <definedName name="workers">Projections!$G:$G</definedName>
    <definedName name="year">#REF!</definedName>
    <definedName name="yearlyincome">#REF!</definedName>
    <definedName name="yearzero">#REF!</definedName>
    <definedName name="youngpop">Projections!$B:$B</definedName>
    <definedName name="youngworkers">Projections!$C:$C</definedName>
    <definedName name="youngworkrate">Projections!$P$4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1" l="1"/>
  <c r="F4" i="1"/>
  <c r="G4" i="1"/>
  <c r="P8" i="1"/>
  <c r="I4" i="1"/>
  <c r="K4" i="1"/>
  <c r="P6" i="1"/>
  <c r="D4" i="1"/>
  <c r="H4" i="1"/>
  <c r="P9" i="1"/>
  <c r="J4" i="1"/>
  <c r="L4" i="1"/>
  <c r="M4" i="1"/>
  <c r="N4" i="1"/>
  <c r="B5" i="1"/>
  <c r="C5" i="1"/>
  <c r="E5" i="1"/>
  <c r="F5" i="1"/>
  <c r="G5" i="1"/>
  <c r="I5" i="1"/>
  <c r="K5" i="1"/>
  <c r="D5" i="1"/>
  <c r="H5" i="1"/>
  <c r="J5" i="1"/>
  <c r="L5" i="1"/>
  <c r="M5" i="1"/>
  <c r="N5" i="1"/>
  <c r="B6" i="1"/>
  <c r="C6" i="1"/>
  <c r="E6" i="1"/>
  <c r="F6" i="1"/>
  <c r="G6" i="1"/>
  <c r="I6" i="1"/>
  <c r="K6" i="1"/>
  <c r="D6" i="1"/>
  <c r="H6" i="1"/>
  <c r="J6" i="1"/>
  <c r="L6" i="1"/>
  <c r="M6" i="1"/>
  <c r="N6" i="1"/>
  <c r="B7" i="1"/>
  <c r="C7" i="1"/>
  <c r="E7" i="1"/>
  <c r="F7" i="1"/>
  <c r="G7" i="1"/>
  <c r="I7" i="1"/>
  <c r="K7" i="1"/>
  <c r="D7" i="1"/>
  <c r="H7" i="1"/>
  <c r="J7" i="1"/>
  <c r="L7" i="1"/>
  <c r="M7" i="1"/>
  <c r="N7" i="1"/>
  <c r="B8" i="1"/>
  <c r="C8" i="1"/>
  <c r="E8" i="1"/>
  <c r="F8" i="1"/>
  <c r="G8" i="1"/>
  <c r="I8" i="1"/>
  <c r="K8" i="1"/>
  <c r="D8" i="1"/>
  <c r="H8" i="1"/>
  <c r="J8" i="1"/>
  <c r="L8" i="1"/>
  <c r="M8" i="1"/>
  <c r="N8" i="1"/>
  <c r="C9" i="1"/>
  <c r="F9" i="1"/>
  <c r="G9" i="1"/>
  <c r="I9" i="1"/>
  <c r="K9" i="1"/>
  <c r="D9" i="1"/>
  <c r="H9" i="1"/>
  <c r="J9" i="1"/>
  <c r="L9" i="1"/>
  <c r="M9" i="1"/>
  <c r="N9" i="1"/>
  <c r="B10" i="1"/>
  <c r="C10" i="1"/>
  <c r="E10" i="1"/>
  <c r="F10" i="1"/>
  <c r="G10" i="1"/>
  <c r="I10" i="1"/>
  <c r="K10" i="1"/>
  <c r="D10" i="1"/>
  <c r="H10" i="1"/>
  <c r="J10" i="1"/>
  <c r="L10" i="1"/>
  <c r="M10" i="1"/>
  <c r="N10" i="1"/>
  <c r="B11" i="1"/>
  <c r="C11" i="1"/>
  <c r="E11" i="1"/>
  <c r="F11" i="1"/>
  <c r="G11" i="1"/>
  <c r="I11" i="1"/>
  <c r="K11" i="1"/>
  <c r="D11" i="1"/>
  <c r="H11" i="1"/>
  <c r="J11" i="1"/>
  <c r="L11" i="1"/>
  <c r="M11" i="1"/>
  <c r="N11" i="1"/>
  <c r="B12" i="1"/>
  <c r="C12" i="1"/>
  <c r="E12" i="1"/>
  <c r="F12" i="1"/>
  <c r="G12" i="1"/>
  <c r="I12" i="1"/>
  <c r="K12" i="1"/>
  <c r="D12" i="1"/>
  <c r="H12" i="1"/>
  <c r="J12" i="1"/>
  <c r="L12" i="1"/>
  <c r="M12" i="1"/>
  <c r="N12" i="1"/>
  <c r="B13" i="1"/>
  <c r="C13" i="1"/>
  <c r="E13" i="1"/>
  <c r="F13" i="1"/>
  <c r="G13" i="1"/>
  <c r="I13" i="1"/>
  <c r="K13" i="1"/>
  <c r="D13" i="1"/>
  <c r="H13" i="1"/>
  <c r="J13" i="1"/>
  <c r="L13" i="1"/>
  <c r="M13" i="1"/>
  <c r="N13" i="1"/>
  <c r="C14" i="1"/>
  <c r="F14" i="1"/>
  <c r="G14" i="1"/>
  <c r="I14" i="1"/>
  <c r="K14" i="1"/>
  <c r="D14" i="1"/>
  <c r="H14" i="1"/>
  <c r="J14" i="1"/>
  <c r="L14" i="1"/>
  <c r="M14" i="1"/>
  <c r="N14" i="1"/>
  <c r="B15" i="1"/>
  <c r="C15" i="1"/>
  <c r="E15" i="1"/>
  <c r="F15" i="1"/>
  <c r="G15" i="1"/>
  <c r="I15" i="1"/>
  <c r="K15" i="1"/>
  <c r="D15" i="1"/>
  <c r="H15" i="1"/>
  <c r="J15" i="1"/>
  <c r="L15" i="1"/>
  <c r="M15" i="1"/>
  <c r="N15" i="1"/>
  <c r="B16" i="1"/>
  <c r="C16" i="1"/>
  <c r="E16" i="1"/>
  <c r="F16" i="1"/>
  <c r="G16" i="1"/>
  <c r="I16" i="1"/>
  <c r="K16" i="1"/>
  <c r="D16" i="1"/>
  <c r="H16" i="1"/>
  <c r="J16" i="1"/>
  <c r="L16" i="1"/>
  <c r="M16" i="1"/>
  <c r="N16" i="1"/>
  <c r="B17" i="1"/>
  <c r="C17" i="1"/>
  <c r="E17" i="1"/>
  <c r="F17" i="1"/>
  <c r="G17" i="1"/>
  <c r="I17" i="1"/>
  <c r="K17" i="1"/>
  <c r="D17" i="1"/>
  <c r="H17" i="1"/>
  <c r="J17" i="1"/>
  <c r="L17" i="1"/>
  <c r="M17" i="1"/>
  <c r="N17" i="1"/>
  <c r="B18" i="1"/>
  <c r="C18" i="1"/>
  <c r="E18" i="1"/>
  <c r="F18" i="1"/>
  <c r="G18" i="1"/>
  <c r="I18" i="1"/>
  <c r="K18" i="1"/>
  <c r="D18" i="1"/>
  <c r="H18" i="1"/>
  <c r="J18" i="1"/>
  <c r="L18" i="1"/>
  <c r="M18" i="1"/>
  <c r="N18" i="1"/>
  <c r="C19" i="1"/>
  <c r="F19" i="1"/>
  <c r="G19" i="1"/>
  <c r="I19" i="1"/>
  <c r="K19" i="1"/>
  <c r="D19" i="1"/>
  <c r="H19" i="1"/>
  <c r="J19" i="1"/>
  <c r="L19" i="1"/>
  <c r="M19" i="1"/>
  <c r="N19" i="1"/>
  <c r="B20" i="1"/>
  <c r="C20" i="1"/>
  <c r="E20" i="1"/>
  <c r="F20" i="1"/>
  <c r="G20" i="1"/>
  <c r="I20" i="1"/>
  <c r="K20" i="1"/>
  <c r="D20" i="1"/>
  <c r="H20" i="1"/>
  <c r="J20" i="1"/>
  <c r="L20" i="1"/>
  <c r="M20" i="1"/>
  <c r="N20" i="1"/>
  <c r="B21" i="1"/>
  <c r="C21" i="1"/>
  <c r="E21" i="1"/>
  <c r="F21" i="1"/>
  <c r="G21" i="1"/>
  <c r="I21" i="1"/>
  <c r="K21" i="1"/>
  <c r="D21" i="1"/>
  <c r="H21" i="1"/>
  <c r="J21" i="1"/>
  <c r="L21" i="1"/>
  <c r="M21" i="1"/>
  <c r="N21" i="1"/>
  <c r="B22" i="1"/>
  <c r="C22" i="1"/>
  <c r="E22" i="1"/>
  <c r="F22" i="1"/>
  <c r="G22" i="1"/>
  <c r="I22" i="1"/>
  <c r="K22" i="1"/>
  <c r="D22" i="1"/>
  <c r="H22" i="1"/>
  <c r="J22" i="1"/>
  <c r="L22" i="1"/>
  <c r="M22" i="1"/>
  <c r="N22" i="1"/>
  <c r="B23" i="1"/>
  <c r="C23" i="1"/>
  <c r="E23" i="1"/>
  <c r="F23" i="1"/>
  <c r="G23" i="1"/>
  <c r="I23" i="1"/>
  <c r="K23" i="1"/>
  <c r="D23" i="1"/>
  <c r="H23" i="1"/>
  <c r="J23" i="1"/>
  <c r="L23" i="1"/>
  <c r="M23" i="1"/>
  <c r="N23" i="1"/>
  <c r="C24" i="1"/>
  <c r="F24" i="1"/>
  <c r="G24" i="1"/>
  <c r="I24" i="1"/>
  <c r="K24" i="1"/>
  <c r="D24" i="1"/>
  <c r="H24" i="1"/>
  <c r="J24" i="1"/>
  <c r="L24" i="1"/>
  <c r="M24" i="1"/>
  <c r="N24" i="1"/>
  <c r="B25" i="1"/>
  <c r="C25" i="1"/>
  <c r="E25" i="1"/>
  <c r="F25" i="1"/>
  <c r="G25" i="1"/>
  <c r="I25" i="1"/>
  <c r="K25" i="1"/>
  <c r="D25" i="1"/>
  <c r="H25" i="1"/>
  <c r="J25" i="1"/>
  <c r="L25" i="1"/>
  <c r="M25" i="1"/>
  <c r="N25" i="1"/>
  <c r="B26" i="1"/>
  <c r="C26" i="1"/>
  <c r="E26" i="1"/>
  <c r="F26" i="1"/>
  <c r="G26" i="1"/>
  <c r="I26" i="1"/>
  <c r="K26" i="1"/>
  <c r="D26" i="1"/>
  <c r="H26" i="1"/>
  <c r="J26" i="1"/>
  <c r="L26" i="1"/>
  <c r="M26" i="1"/>
  <c r="N26" i="1"/>
  <c r="B27" i="1"/>
  <c r="C27" i="1"/>
  <c r="E27" i="1"/>
  <c r="F27" i="1"/>
  <c r="G27" i="1"/>
  <c r="I27" i="1"/>
  <c r="K27" i="1"/>
  <c r="D27" i="1"/>
  <c r="H27" i="1"/>
  <c r="J27" i="1"/>
  <c r="L27" i="1"/>
  <c r="M27" i="1"/>
  <c r="N27" i="1"/>
  <c r="B28" i="1"/>
  <c r="C28" i="1"/>
  <c r="E28" i="1"/>
  <c r="F28" i="1"/>
  <c r="G28" i="1"/>
  <c r="I28" i="1"/>
  <c r="K28" i="1"/>
  <c r="D28" i="1"/>
  <c r="H28" i="1"/>
  <c r="J28" i="1"/>
  <c r="L28" i="1"/>
  <c r="M28" i="1"/>
  <c r="N28" i="1"/>
  <c r="C29" i="1"/>
  <c r="F29" i="1"/>
  <c r="G29" i="1"/>
  <c r="I29" i="1"/>
  <c r="K29" i="1"/>
  <c r="D29" i="1"/>
  <c r="H29" i="1"/>
  <c r="J29" i="1"/>
  <c r="L29" i="1"/>
  <c r="M29" i="1"/>
  <c r="N29" i="1"/>
  <c r="B30" i="1"/>
  <c r="C30" i="1"/>
  <c r="E30" i="1"/>
  <c r="F30" i="1"/>
  <c r="G30" i="1"/>
  <c r="I30" i="1"/>
  <c r="K30" i="1"/>
  <c r="D30" i="1"/>
  <c r="H30" i="1"/>
  <c r="J30" i="1"/>
  <c r="L30" i="1"/>
  <c r="M30" i="1"/>
  <c r="N30" i="1"/>
  <c r="B31" i="1"/>
  <c r="C31" i="1"/>
  <c r="E31" i="1"/>
  <c r="F31" i="1"/>
  <c r="G31" i="1"/>
  <c r="I31" i="1"/>
  <c r="K31" i="1"/>
  <c r="D31" i="1"/>
  <c r="H31" i="1"/>
  <c r="J31" i="1"/>
  <c r="L31" i="1"/>
  <c r="M31" i="1"/>
  <c r="N31" i="1"/>
  <c r="B32" i="1"/>
  <c r="C32" i="1"/>
  <c r="E32" i="1"/>
  <c r="F32" i="1"/>
  <c r="G32" i="1"/>
  <c r="I32" i="1"/>
  <c r="K32" i="1"/>
  <c r="D32" i="1"/>
  <c r="H32" i="1"/>
  <c r="J32" i="1"/>
  <c r="L32" i="1"/>
  <c r="M32" i="1"/>
  <c r="N32" i="1"/>
  <c r="B33" i="1"/>
  <c r="C33" i="1"/>
  <c r="E33" i="1"/>
  <c r="F33" i="1"/>
  <c r="G33" i="1"/>
  <c r="I33" i="1"/>
  <c r="K33" i="1"/>
  <c r="D33" i="1"/>
  <c r="H33" i="1"/>
  <c r="J33" i="1"/>
  <c r="L33" i="1"/>
  <c r="M33" i="1"/>
  <c r="N33" i="1"/>
  <c r="C34" i="1"/>
  <c r="F34" i="1"/>
  <c r="G34" i="1"/>
  <c r="I34" i="1"/>
  <c r="K34" i="1"/>
  <c r="D34" i="1"/>
  <c r="H34" i="1"/>
  <c r="J34" i="1"/>
  <c r="L34" i="1"/>
  <c r="M34" i="1"/>
  <c r="N34" i="1"/>
  <c r="B35" i="1"/>
  <c r="C35" i="1"/>
  <c r="E35" i="1"/>
  <c r="F35" i="1"/>
  <c r="G35" i="1"/>
  <c r="I35" i="1"/>
  <c r="K35" i="1"/>
  <c r="D35" i="1"/>
  <c r="H35" i="1"/>
  <c r="J35" i="1"/>
  <c r="L35" i="1"/>
  <c r="M35" i="1"/>
  <c r="N35" i="1"/>
  <c r="B36" i="1"/>
  <c r="C36" i="1"/>
  <c r="E36" i="1"/>
  <c r="F36" i="1"/>
  <c r="G36" i="1"/>
  <c r="I36" i="1"/>
  <c r="K36" i="1"/>
  <c r="D36" i="1"/>
  <c r="H36" i="1"/>
  <c r="J36" i="1"/>
  <c r="L36" i="1"/>
  <c r="M36" i="1"/>
  <c r="N36" i="1"/>
  <c r="B37" i="1"/>
  <c r="C37" i="1"/>
  <c r="E37" i="1"/>
  <c r="F37" i="1"/>
  <c r="G37" i="1"/>
  <c r="I37" i="1"/>
  <c r="K37" i="1"/>
  <c r="D37" i="1"/>
  <c r="H37" i="1"/>
  <c r="J37" i="1"/>
  <c r="L37" i="1"/>
  <c r="M37" i="1"/>
  <c r="N37" i="1"/>
  <c r="B38" i="1"/>
  <c r="C38" i="1"/>
  <c r="E38" i="1"/>
  <c r="F38" i="1"/>
  <c r="G38" i="1"/>
  <c r="I38" i="1"/>
  <c r="K38" i="1"/>
  <c r="D38" i="1"/>
  <c r="H38" i="1"/>
  <c r="J38" i="1"/>
  <c r="L38" i="1"/>
  <c r="M38" i="1"/>
  <c r="N38" i="1"/>
  <c r="C39" i="1"/>
  <c r="F39" i="1"/>
  <c r="G39" i="1"/>
  <c r="I39" i="1"/>
  <c r="K39" i="1"/>
  <c r="D39" i="1"/>
  <c r="H39" i="1"/>
  <c r="J39" i="1"/>
  <c r="L39" i="1"/>
  <c r="M39" i="1"/>
  <c r="N39" i="1"/>
  <c r="B40" i="1"/>
  <c r="C40" i="1"/>
  <c r="E40" i="1"/>
  <c r="F40" i="1"/>
  <c r="G40" i="1"/>
  <c r="I40" i="1"/>
  <c r="K40" i="1"/>
  <c r="D40" i="1"/>
  <c r="H40" i="1"/>
  <c r="J40" i="1"/>
  <c r="L40" i="1"/>
  <c r="M40" i="1"/>
  <c r="N40" i="1"/>
  <c r="B41" i="1"/>
  <c r="C41" i="1"/>
  <c r="E41" i="1"/>
  <c r="F41" i="1"/>
  <c r="G41" i="1"/>
  <c r="I41" i="1"/>
  <c r="K41" i="1"/>
  <c r="D41" i="1"/>
  <c r="H41" i="1"/>
  <c r="J41" i="1"/>
  <c r="L41" i="1"/>
  <c r="M41" i="1"/>
  <c r="N41" i="1"/>
  <c r="B42" i="1"/>
  <c r="C42" i="1"/>
  <c r="E42" i="1"/>
  <c r="F42" i="1"/>
  <c r="G42" i="1"/>
  <c r="I42" i="1"/>
  <c r="K42" i="1"/>
  <c r="D42" i="1"/>
  <c r="H42" i="1"/>
  <c r="J42" i="1"/>
  <c r="L42" i="1"/>
  <c r="M42" i="1"/>
  <c r="N42" i="1"/>
  <c r="B43" i="1"/>
  <c r="C43" i="1"/>
  <c r="E43" i="1"/>
  <c r="F43" i="1"/>
  <c r="G43" i="1"/>
  <c r="I43" i="1"/>
  <c r="K43" i="1"/>
  <c r="D43" i="1"/>
  <c r="H43" i="1"/>
  <c r="J43" i="1"/>
  <c r="L43" i="1"/>
  <c r="M43" i="1"/>
  <c r="N43" i="1"/>
  <c r="C44" i="1"/>
  <c r="F44" i="1"/>
  <c r="G44" i="1"/>
  <c r="I44" i="1"/>
  <c r="K44" i="1"/>
  <c r="D44" i="1"/>
  <c r="H44" i="1"/>
  <c r="J44" i="1"/>
  <c r="L44" i="1"/>
  <c r="M44" i="1"/>
  <c r="N44" i="1"/>
  <c r="Q16" i="1"/>
</calcChain>
</file>

<file path=xl/comments1.xml><?xml version="1.0" encoding="utf-8"?>
<comments xmlns="http://schemas.openxmlformats.org/spreadsheetml/2006/main">
  <authors>
    <author xml:space="preserve"> </author>
    <author>B A</author>
  </authors>
  <commentList>
    <comment ref="B3" authorId="0">
      <text>
        <r>
          <rPr>
            <b/>
            <sz val="8"/>
            <color indexed="81"/>
            <rFont val="Tahoma"/>
          </rPr>
          <t>Source: Census Bureau projections for every 5 years, 2010-2050</t>
        </r>
      </text>
    </comment>
    <comment ref="E3" authorId="0">
      <text>
        <r>
          <rPr>
            <b/>
            <sz val="8"/>
            <color indexed="81"/>
            <rFont val="Tahoma"/>
          </rPr>
          <t>Source: Census Bureau projections for every 5 years, 2010-2050</t>
        </r>
        <r>
          <rPr>
            <sz val="8"/>
            <color indexed="81"/>
            <rFont val="Tahoma"/>
          </rPr>
          <t xml:space="preserve">
</t>
        </r>
      </text>
    </comment>
    <comment ref="P6" authorId="0">
      <text>
        <r>
          <rPr>
            <b/>
            <sz val="8"/>
            <color indexed="81"/>
            <rFont val="Tahoma"/>
          </rPr>
          <t>Social Security Trustees' report 2010, page 53</t>
        </r>
      </text>
    </comment>
    <comment ref="P8" authorId="0">
      <text>
        <r>
          <rPr>
            <b/>
            <sz val="8"/>
            <color indexed="81"/>
            <rFont val="Tahoma"/>
          </rPr>
          <t>From Social Security Trustees' Report 2010, pages 5 and 53</t>
        </r>
      </text>
    </comment>
    <comment ref="P9" authorId="1">
      <text>
        <r>
          <rPr>
            <b/>
            <sz val="9"/>
            <color indexed="81"/>
            <rFont val="Arial"/>
          </rPr>
          <t>Trust fund report: p5, 53</t>
        </r>
      </text>
    </comment>
    <comment ref="P10" authorId="0">
      <text>
        <r>
          <rPr>
            <b/>
            <sz val="8"/>
            <color indexed="81"/>
            <rFont val="Tahoma"/>
          </rPr>
          <t>From Social Security Trustees' Report p. 5 OASDI</t>
        </r>
      </text>
    </comment>
  </commentList>
</comments>
</file>

<file path=xl/sharedStrings.xml><?xml version="1.0" encoding="utf-8"?>
<sst xmlns="http://schemas.openxmlformats.org/spreadsheetml/2006/main" count="36" uniqueCount="32">
  <si>
    <t>Year</t>
  </si>
  <si>
    <t>Population</t>
  </si>
  <si>
    <t>Age 65 and up</t>
  </si>
  <si>
    <t>Age 18 to 64</t>
  </si>
  <si>
    <t>Working</t>
  </si>
  <si>
    <t>Workers</t>
  </si>
  <si>
    <t>Tax per</t>
  </si>
  <si>
    <t>Worker</t>
  </si>
  <si>
    <t>Benefit per</t>
  </si>
  <si>
    <t>Total</t>
  </si>
  <si>
    <t>Taxes</t>
  </si>
  <si>
    <t>Benefits</t>
  </si>
  <si>
    <t>Cashflow</t>
  </si>
  <si>
    <t>Net</t>
  </si>
  <si>
    <t>(all population figures are in millions)</t>
  </si>
  <si>
    <t>Labor force participation, age 18-64</t>
  </si>
  <si>
    <t>Labor force participation, age 65+</t>
  </si>
  <si>
    <t>Tax rate</t>
  </si>
  <si>
    <t>Average taxable earnings per worker</t>
  </si>
  <si>
    <t>(cashflows and assets in billions)</t>
  </si>
  <si>
    <t>Assets</t>
  </si>
  <si>
    <t>Real rate of return on investment</t>
  </si>
  <si>
    <t>Disability rate, age 18-64</t>
  </si>
  <si>
    <t>Disabled</t>
  </si>
  <si>
    <t>Receiving</t>
  </si>
  <si>
    <t>Average benefits per beneficiary</t>
  </si>
  <si>
    <t>Recipient</t>
  </si>
  <si>
    <t>Projected</t>
  </si>
  <si>
    <t>Assets, end of 2009, billions</t>
  </si>
  <si>
    <t>2050 value</t>
  </si>
  <si>
    <t>Data Table</t>
  </si>
  <si>
    <t>rate of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</si>
</sst>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44" formatCode="_(&quot;$&quot;* #,##0.00_);_(&quot;$&quot;* \(#,##0.00\);_(&quot;$&quot;* &quot;-&quot;??_);_(@_)"/>
    <numFmt numFmtId="166" formatCode="0.0%"/>
    <numFmt numFmtId="167" formatCode="_(&quot;$&quot;* #,##0.0_);_(&quot;$&quot;* \(#,##0.0\);_(&quot;$&quot;* &quot;-&quot;??_);_(@_)"/>
    <numFmt numFmtId="168" formatCode="_(&quot;$&quot;* #,##0_);_(&quot;$&quot;* \(#,##0\);_(&quot;$&quot;* &quot;-&quot;??_);_(@_)"/>
  </numFmts>
  <fonts count="9" x14ac:knownFonts="1">
    <font>
      <sz val="10"/>
      <name val="Arial"/>
    </font>
    <font>
      <sz val="10"/>
      <name val="Arial"/>
    </font>
    <font>
      <sz val="8"/>
      <name val="Arial"/>
    </font>
    <font>
      <i/>
      <sz val="10"/>
      <name val="Arial"/>
    </font>
    <font>
      <sz val="8"/>
      <color indexed="81"/>
      <name val="Tahoma"/>
    </font>
    <font>
      <b/>
      <sz val="8"/>
      <color indexed="81"/>
      <name val="Tahoma"/>
    </font>
    <font>
      <b/>
      <i/>
      <sz val="10"/>
      <name val="Arial"/>
    </font>
    <font>
      <b/>
      <sz val="9"/>
      <color indexed="81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/>
    <xf numFmtId="166" fontId="0" fillId="0" borderId="0" xfId="0" applyNumberFormat="1"/>
    <xf numFmtId="167" fontId="0" fillId="0" borderId="0" xfId="1" applyNumberFormat="1" applyFont="1"/>
    <xf numFmtId="167" fontId="0" fillId="0" borderId="0" xfId="1" applyNumberFormat="1" applyFont="1" applyAlignment="1">
      <alignment horizontal="center"/>
    </xf>
    <xf numFmtId="168" fontId="0" fillId="0" borderId="0" xfId="1" applyNumberFormat="1" applyFont="1"/>
    <xf numFmtId="168" fontId="0" fillId="0" borderId="0" xfId="1" applyNumberFormat="1" applyFont="1" applyAlignment="1">
      <alignment horizontal="center"/>
    </xf>
    <xf numFmtId="167" fontId="0" fillId="0" borderId="1" xfId="1" applyNumberFormat="1" applyFont="1" applyBorder="1" applyAlignment="1">
      <alignment horizontal="center"/>
    </xf>
    <xf numFmtId="167" fontId="0" fillId="0" borderId="1" xfId="1" applyNumberFormat="1" applyFont="1" applyBorder="1"/>
    <xf numFmtId="168" fontId="0" fillId="0" borderId="1" xfId="1" applyNumberFormat="1" applyFont="1" applyBorder="1"/>
    <xf numFmtId="168" fontId="3" fillId="0" borderId="0" xfId="1" applyNumberFormat="1" applyFont="1" applyAlignment="1">
      <alignment horizontal="center"/>
    </xf>
    <xf numFmtId="168" fontId="0" fillId="0" borderId="1" xfId="1" applyNumberFormat="1" applyFont="1" applyBorder="1" applyAlignment="1">
      <alignment horizontal="center"/>
    </xf>
    <xf numFmtId="168" fontId="3" fillId="0" borderId="1" xfId="1" applyNumberFormat="1" applyFont="1" applyBorder="1"/>
    <xf numFmtId="168" fontId="3" fillId="0" borderId="0" xfId="1" applyNumberFormat="1" applyFont="1"/>
    <xf numFmtId="166" fontId="0" fillId="0" borderId="0" xfId="2" applyNumberFormat="1" applyFont="1"/>
    <xf numFmtId="6" fontId="6" fillId="0" borderId="0" xfId="1" applyNumberFormat="1" applyFont="1"/>
    <xf numFmtId="168" fontId="0" fillId="0" borderId="0" xfId="0" applyNumberFormat="1"/>
    <xf numFmtId="1" fontId="0" fillId="0" borderId="0" xfId="0" applyNumberFormat="1" applyBorder="1"/>
    <xf numFmtId="3" fontId="1" fillId="0" borderId="0" xfId="0" applyNumberFormat="1" applyFont="1" applyBorder="1" applyAlignment="1" applyProtection="1">
      <alignment horizontal="right"/>
      <protection locked="0"/>
    </xf>
    <xf numFmtId="2" fontId="0" fillId="0" borderId="0" xfId="0" applyNumberFormat="1" applyBorder="1"/>
    <xf numFmtId="1" fontId="3" fillId="0" borderId="0" xfId="0" applyNumberFormat="1" applyFont="1" applyAlignment="1">
      <alignment horizontal="center"/>
    </xf>
    <xf numFmtId="1" fontId="3" fillId="0" borderId="2" xfId="0" applyNumberFormat="1" applyFont="1" applyBorder="1" applyAlignment="1">
      <alignment horizontal="center"/>
    </xf>
    <xf numFmtId="168" fontId="3" fillId="0" borderId="0" xfId="1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9" fontId="0" fillId="0" borderId="0" xfId="0" applyNumberFormat="1"/>
    <xf numFmtId="6" fontId="8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5"/>
  <sheetViews>
    <sheetView tabSelected="1" zoomScale="150" zoomScaleNormal="150" zoomScalePageLayoutView="150" workbookViewId="0">
      <pane xSplit="1" ySplit="3" topLeftCell="G4" activePane="bottomRight" state="frozen"/>
      <selection pane="topRight" activeCell="B1" sqref="B1"/>
      <selection pane="bottomLeft" activeCell="A3" sqref="A3"/>
      <selection pane="bottomRight" activeCell="P10" sqref="P10"/>
    </sheetView>
  </sheetViews>
  <sheetFormatPr baseColWidth="10" defaultColWidth="9.6640625" defaultRowHeight="12" x14ac:dyDescent="0"/>
  <cols>
    <col min="1" max="1" width="9.6640625" customWidth="1"/>
    <col min="2" max="7" width="9.6640625" style="2" customWidth="1"/>
    <col min="8" max="8" width="8.83203125" customWidth="1"/>
    <col min="9" max="9" width="9.6640625" style="11" customWidth="1"/>
    <col min="10" max="10" width="9.6640625" style="6" customWidth="1"/>
    <col min="11" max="11" width="9.6640625" style="12" customWidth="1"/>
    <col min="12" max="13" width="9.6640625" style="8" customWidth="1"/>
    <col min="16" max="16" width="10.33203125" customWidth="1"/>
  </cols>
  <sheetData>
    <row r="1" spans="1:17">
      <c r="B1" s="23" t="s">
        <v>14</v>
      </c>
      <c r="C1" s="23"/>
      <c r="D1" s="23"/>
      <c r="E1" s="23"/>
      <c r="F1" s="23"/>
      <c r="G1" s="23"/>
      <c r="H1" s="24"/>
      <c r="K1" s="25" t="s">
        <v>19</v>
      </c>
      <c r="L1" s="25"/>
      <c r="M1" s="25"/>
      <c r="N1" s="25"/>
      <c r="O1" s="13"/>
    </row>
    <row r="2" spans="1:17" s="1" customFormat="1">
      <c r="B2" s="26" t="s">
        <v>3</v>
      </c>
      <c r="C2" s="26"/>
      <c r="D2" s="26"/>
      <c r="E2" s="26" t="s">
        <v>2</v>
      </c>
      <c r="F2" s="26"/>
      <c r="G2" s="4"/>
      <c r="H2" s="1" t="s">
        <v>24</v>
      </c>
      <c r="I2" s="10" t="s">
        <v>6</v>
      </c>
      <c r="J2" s="7" t="s">
        <v>8</v>
      </c>
      <c r="K2" s="14" t="s">
        <v>9</v>
      </c>
      <c r="L2" s="9" t="s">
        <v>9</v>
      </c>
      <c r="M2" s="9" t="s">
        <v>13</v>
      </c>
      <c r="N2" s="1" t="s">
        <v>27</v>
      </c>
    </row>
    <row r="3" spans="1:17" s="1" customFormat="1">
      <c r="A3" s="1" t="s">
        <v>0</v>
      </c>
      <c r="B3" s="3" t="s">
        <v>1</v>
      </c>
      <c r="C3" s="3" t="s">
        <v>4</v>
      </c>
      <c r="D3" s="3" t="s">
        <v>23</v>
      </c>
      <c r="E3" s="3" t="s">
        <v>1</v>
      </c>
      <c r="F3" s="3" t="s">
        <v>4</v>
      </c>
      <c r="G3" s="3" t="s">
        <v>5</v>
      </c>
      <c r="H3" s="1" t="s">
        <v>11</v>
      </c>
      <c r="I3" s="10" t="s">
        <v>7</v>
      </c>
      <c r="J3" s="7" t="s">
        <v>26</v>
      </c>
      <c r="K3" s="14" t="s">
        <v>10</v>
      </c>
      <c r="L3" s="9" t="s">
        <v>11</v>
      </c>
      <c r="M3" s="9" t="s">
        <v>12</v>
      </c>
      <c r="N3" s="1" t="s">
        <v>20</v>
      </c>
    </row>
    <row r="4" spans="1:17">
      <c r="A4">
        <v>2010</v>
      </c>
      <c r="B4" s="2">
        <v>194.78700000000001</v>
      </c>
      <c r="C4" s="2">
        <f t="shared" ref="C4:C44" si="0">youngpop*youngworkrate</f>
        <v>149.40162900000001</v>
      </c>
      <c r="D4" s="2">
        <f t="shared" ref="D4:D44" si="1">youngpop*disabilityrate</f>
        <v>11.829220585690388</v>
      </c>
      <c r="E4" s="2">
        <v>40.228999999999999</v>
      </c>
      <c r="F4" s="2">
        <f t="shared" ref="F4:F44" si="2">oldpop*oldworkrate</f>
        <v>4.5056479999999999</v>
      </c>
      <c r="G4" s="2">
        <f t="shared" ref="G4:G44" si="3">youngworkers+oldworkers</f>
        <v>153.90727700000002</v>
      </c>
      <c r="H4" s="2">
        <f t="shared" ref="H4:H44" si="4">disabled+oldpop</f>
        <v>52.058220585690385</v>
      </c>
      <c r="I4" s="12">
        <f t="shared" ref="I4:I44" si="5">taxrate*average_earnings</f>
        <v>4276.9883541318159</v>
      </c>
      <c r="J4" s="8">
        <f t="shared" ref="J4:J44" si="6">average_benefits</f>
        <v>13025.453143077517</v>
      </c>
      <c r="K4" s="15">
        <f t="shared" ref="K4:K44" si="7">workers*tax_each/1000</f>
        <v>658.25963134513961</v>
      </c>
      <c r="L4" s="16">
        <f t="shared" ref="L4:L44" si="8">beneficiaries*benefit_each/1000</f>
        <v>678.08191295090353</v>
      </c>
      <c r="M4" s="18">
        <f t="shared" ref="M4:M44" si="9">totaltaxes-totalbenefits</f>
        <v>-19.822281605763919</v>
      </c>
      <c r="N4" s="18">
        <f>assets2009*(1+return)+cashflow</f>
        <v>2594.1464183942362</v>
      </c>
      <c r="P4" s="5">
        <v>0.76700000000000002</v>
      </c>
      <c r="Q4" t="s">
        <v>15</v>
      </c>
    </row>
    <row r="5" spans="1:17">
      <c r="A5">
        <v>2011</v>
      </c>
      <c r="B5" s="2">
        <f>B4*((B9/B4)^(1/5))</f>
        <v>195.93537924744754</v>
      </c>
      <c r="C5" s="2">
        <f t="shared" si="0"/>
        <v>150.28243588279227</v>
      </c>
      <c r="D5" s="2">
        <f t="shared" si="1"/>
        <v>11.898960514094675</v>
      </c>
      <c r="E5" s="2">
        <f>E4*((E9/E4)^(1/5))</f>
        <v>41.471448422174774</v>
      </c>
      <c r="F5" s="2">
        <f t="shared" si="2"/>
        <v>4.6448022232835751</v>
      </c>
      <c r="G5" s="2">
        <f t="shared" si="3"/>
        <v>154.92723810607583</v>
      </c>
      <c r="H5" s="2">
        <f t="shared" si="4"/>
        <v>53.370408936269449</v>
      </c>
      <c r="I5" s="12">
        <f t="shared" si="5"/>
        <v>4276.9883541318159</v>
      </c>
      <c r="J5" s="8">
        <f t="shared" si="6"/>
        <v>13025.453143077517</v>
      </c>
      <c r="K5" s="15">
        <f t="shared" si="7"/>
        <v>662.62199311749328</v>
      </c>
      <c r="L5" s="16">
        <f t="shared" si="8"/>
        <v>695.17376082626333</v>
      </c>
      <c r="M5" s="18">
        <f t="shared" si="9"/>
        <v>-32.551767708770058</v>
      </c>
      <c r="N5" s="18">
        <f t="shared" ref="N5:N44" si="10">N4*(1+return)+cashflow</f>
        <v>2636.8248968188987</v>
      </c>
      <c r="P5" s="5">
        <v>0.112</v>
      </c>
      <c r="Q5" t="s">
        <v>16</v>
      </c>
    </row>
    <row r="6" spans="1:17">
      <c r="A6">
        <v>2012</v>
      </c>
      <c r="B6" s="2">
        <f>B4*((B9/B4)^(2/5))</f>
        <v>197.09052883837774</v>
      </c>
      <c r="C6" s="2">
        <f t="shared" si="0"/>
        <v>151.16843561903573</v>
      </c>
      <c r="D6" s="2">
        <f t="shared" si="1"/>
        <v>11.969111598718307</v>
      </c>
      <c r="E6" s="2">
        <f>E4*((E9/E4)^(2/5))</f>
        <v>42.75226911514337</v>
      </c>
      <c r="F6" s="2">
        <f t="shared" si="2"/>
        <v>4.7882541408960577</v>
      </c>
      <c r="G6" s="2">
        <f t="shared" si="3"/>
        <v>155.95668975993181</v>
      </c>
      <c r="H6" s="2">
        <f t="shared" si="4"/>
        <v>54.721380713861677</v>
      </c>
      <c r="I6" s="12">
        <f t="shared" si="5"/>
        <v>4276.9883541318159</v>
      </c>
      <c r="J6" s="8">
        <f t="shared" si="6"/>
        <v>13025.453143077517</v>
      </c>
      <c r="K6" s="15">
        <f t="shared" si="7"/>
        <v>667.02494585217698</v>
      </c>
      <c r="L6" s="16">
        <f t="shared" si="8"/>
        <v>712.77078041291099</v>
      </c>
      <c r="M6" s="18">
        <f t="shared" si="9"/>
        <v>-45.745834560734011</v>
      </c>
      <c r="N6" s="18">
        <f t="shared" si="10"/>
        <v>2667.5469842659122</v>
      </c>
      <c r="P6" s="17">
        <f>9475/156021</f>
        <v>6.0729004428890981E-2</v>
      </c>
      <c r="Q6" t="s">
        <v>22</v>
      </c>
    </row>
    <row r="7" spans="1:17">
      <c r="A7">
        <v>2013</v>
      </c>
      <c r="B7" s="2">
        <f>B4*((B9/B4)^(3/5))</f>
        <v>198.25248868778479</v>
      </c>
      <c r="C7" s="2">
        <f t="shared" si="0"/>
        <v>152.05965882353092</v>
      </c>
      <c r="D7" s="2">
        <f t="shared" si="1"/>
        <v>12.039676263559143</v>
      </c>
      <c r="E7" s="2">
        <f>E4*((E9/E4)^(3/5))</f>
        <v>44.072647183365326</v>
      </c>
      <c r="F7" s="2">
        <f t="shared" si="2"/>
        <v>4.9361364845369167</v>
      </c>
      <c r="G7" s="2">
        <f t="shared" si="3"/>
        <v>156.99579530806784</v>
      </c>
      <c r="H7" s="2">
        <f t="shared" si="4"/>
        <v>56.112323446924471</v>
      </c>
      <c r="I7" s="12">
        <f t="shared" si="5"/>
        <v>4276.9883541318159</v>
      </c>
      <c r="J7" s="8">
        <f t="shared" si="6"/>
        <v>13025.453143077517</v>
      </c>
      <c r="K7" s="15">
        <f t="shared" si="7"/>
        <v>671.46918818026847</v>
      </c>
      <c r="L7" s="16">
        <f t="shared" si="8"/>
        <v>730.88843980712454</v>
      </c>
      <c r="M7" s="18">
        <f t="shared" si="9"/>
        <v>-59.419251626856067</v>
      </c>
      <c r="N7" s="18">
        <f t="shared" si="10"/>
        <v>2685.4865951827678</v>
      </c>
      <c r="P7" s="5">
        <v>0.124</v>
      </c>
      <c r="Q7" t="s">
        <v>17</v>
      </c>
    </row>
    <row r="8" spans="1:17">
      <c r="A8">
        <v>2014</v>
      </c>
      <c r="B8" s="2">
        <f>B4*((B9/B4)^(4/5))</f>
        <v>199.42129894598412</v>
      </c>
      <c r="C8" s="2">
        <f t="shared" si="0"/>
        <v>152.95613629156983</v>
      </c>
      <c r="D8" s="2">
        <f t="shared" si="1"/>
        <v>12.110656946905863</v>
      </c>
      <c r="E8" s="2">
        <f>E4*((E9/E4)^(4/5))</f>
        <v>45.433804332537271</v>
      </c>
      <c r="F8" s="2">
        <f t="shared" si="2"/>
        <v>5.0885860852441747</v>
      </c>
      <c r="G8" s="2">
        <f t="shared" si="3"/>
        <v>158.04472237681401</v>
      </c>
      <c r="H8" s="2">
        <f t="shared" si="4"/>
        <v>57.544461279443134</v>
      </c>
      <c r="I8" s="12">
        <f t="shared" si="5"/>
        <v>4276.9883541318159</v>
      </c>
      <c r="J8" s="8">
        <f t="shared" si="6"/>
        <v>13025.453143077517</v>
      </c>
      <c r="K8" s="15">
        <f t="shared" si="7"/>
        <v>675.95543703762951</v>
      </c>
      <c r="L8" s="16">
        <f t="shared" si="8"/>
        <v>749.54268403902495</v>
      </c>
      <c r="M8" s="18">
        <f t="shared" si="9"/>
        <v>-73.58724700139544</v>
      </c>
      <c r="N8" s="18">
        <f t="shared" si="10"/>
        <v>2689.7784594416721</v>
      </c>
      <c r="P8" s="8">
        <f>(667300000000/156021000)/12.4%</f>
        <v>34491.841565579161</v>
      </c>
      <c r="Q8" t="s">
        <v>18</v>
      </c>
    </row>
    <row r="9" spans="1:17">
      <c r="A9">
        <v>2015</v>
      </c>
      <c r="B9" s="2">
        <v>200.59700000000001</v>
      </c>
      <c r="C9" s="2">
        <f t="shared" si="0"/>
        <v>153.857899</v>
      </c>
      <c r="D9" s="2">
        <f t="shared" si="1"/>
        <v>12.182056101422244</v>
      </c>
      <c r="E9" s="2">
        <v>46.837000000000003</v>
      </c>
      <c r="F9" s="2">
        <f t="shared" si="2"/>
        <v>5.2457440000000002</v>
      </c>
      <c r="G9" s="2">
        <f t="shared" si="3"/>
        <v>159.10364300000001</v>
      </c>
      <c r="H9" s="2">
        <f t="shared" si="4"/>
        <v>59.019056101422251</v>
      </c>
      <c r="I9" s="12">
        <f t="shared" si="5"/>
        <v>4276.9883541318159</v>
      </c>
      <c r="J9" s="8">
        <f t="shared" si="6"/>
        <v>13025.453143077517</v>
      </c>
      <c r="K9" s="15">
        <f t="shared" si="7"/>
        <v>680.48442821094602</v>
      </c>
      <c r="L9" s="16">
        <f t="shared" si="8"/>
        <v>768.74994979773885</v>
      </c>
      <c r="M9" s="18">
        <f t="shared" si="9"/>
        <v>-88.265521586792829</v>
      </c>
      <c r="N9" s="18">
        <f t="shared" si="10"/>
        <v>2679.5165131786871</v>
      </c>
      <c r="P9" s="19">
        <f>675500000000/51860000</f>
        <v>13025.453143077517</v>
      </c>
      <c r="Q9" t="s">
        <v>25</v>
      </c>
    </row>
    <row r="10" spans="1:17">
      <c r="A10">
        <v>2016</v>
      </c>
      <c r="B10" s="2">
        <f>B9*((B14/B9)^(1/5))</f>
        <v>201.44971945238765</v>
      </c>
      <c r="C10" s="2">
        <f t="shared" si="0"/>
        <v>154.51193481998132</v>
      </c>
      <c r="D10" s="2">
        <f t="shared" si="1"/>
        <v>12.233840904822896</v>
      </c>
      <c r="E10" s="2">
        <f>E9*((E14/E9)^(1/5))</f>
        <v>48.33188210476159</v>
      </c>
      <c r="F10" s="2">
        <f t="shared" si="2"/>
        <v>5.413170795733298</v>
      </c>
      <c r="G10" s="2">
        <f t="shared" si="3"/>
        <v>159.92510561571461</v>
      </c>
      <c r="H10" s="2">
        <f t="shared" si="4"/>
        <v>60.565723009584488</v>
      </c>
      <c r="I10" s="12">
        <f t="shared" si="5"/>
        <v>4276.9883541318159</v>
      </c>
      <c r="J10" s="8">
        <f t="shared" si="6"/>
        <v>13025.453143077517</v>
      </c>
      <c r="K10" s="15">
        <f t="shared" si="7"/>
        <v>683.99781425171204</v>
      </c>
      <c r="L10" s="16">
        <f t="shared" si="8"/>
        <v>788.89598713795453</v>
      </c>
      <c r="M10" s="18">
        <f t="shared" si="9"/>
        <v>-104.89817288624249</v>
      </c>
      <c r="N10" s="18">
        <f t="shared" si="10"/>
        <v>2652.324319174626</v>
      </c>
      <c r="P10" s="8">
        <v>2540.3000000000002</v>
      </c>
      <c r="Q10" t="s">
        <v>28</v>
      </c>
    </row>
    <row r="11" spans="1:17">
      <c r="A11">
        <v>2017</v>
      </c>
      <c r="B11" s="2">
        <f>B9*((B14/B9)^(2/5))</f>
        <v>202.30606373697358</v>
      </c>
      <c r="C11" s="2">
        <f t="shared" si="0"/>
        <v>155.16875088625875</v>
      </c>
      <c r="D11" s="2">
        <f t="shared" si="1"/>
        <v>12.28584584067417</v>
      </c>
      <c r="E11" s="2">
        <f>E9*((E14/E9)^(2/5))</f>
        <v>49.874475901286878</v>
      </c>
      <c r="F11" s="2">
        <f t="shared" si="2"/>
        <v>5.5859413009441301</v>
      </c>
      <c r="G11" s="2">
        <f t="shared" si="3"/>
        <v>160.75469218720289</v>
      </c>
      <c r="H11" s="2">
        <f t="shared" si="4"/>
        <v>62.160321741961049</v>
      </c>
      <c r="I11" s="12">
        <f t="shared" si="5"/>
        <v>4276.9883541318159</v>
      </c>
      <c r="J11" s="8">
        <f t="shared" si="6"/>
        <v>13025.453143077517</v>
      </c>
      <c r="K11" s="15">
        <f t="shared" si="7"/>
        <v>687.54594635671151</v>
      </c>
      <c r="L11" s="16">
        <f t="shared" si="8"/>
        <v>809.66635820853628</v>
      </c>
      <c r="M11" s="18">
        <f t="shared" si="9"/>
        <v>-122.12041185182477</v>
      </c>
      <c r="N11" s="18">
        <f t="shared" si="10"/>
        <v>2607.1213125788649</v>
      </c>
      <c r="P11" s="17">
        <v>2.9000000000000001E-2</v>
      </c>
      <c r="Q11" t="s">
        <v>21</v>
      </c>
    </row>
    <row r="12" spans="1:17">
      <c r="A12">
        <v>2018</v>
      </c>
      <c r="B12" s="2">
        <f>B9*((B14/B9)^(3/5))</f>
        <v>203.16604826258711</v>
      </c>
      <c r="C12" s="2">
        <f t="shared" si="0"/>
        <v>155.82835901740432</v>
      </c>
      <c r="D12" s="2">
        <f t="shared" si="1"/>
        <v>12.338071844738932</v>
      </c>
      <c r="E12" s="2">
        <f>E9*((E14/E9)^(3/5))</f>
        <v>51.466304188948271</v>
      </c>
      <c r="F12" s="2">
        <f t="shared" si="2"/>
        <v>5.7642260691622065</v>
      </c>
      <c r="G12" s="2">
        <f t="shared" si="3"/>
        <v>161.59258508656654</v>
      </c>
      <c r="H12" s="2">
        <f t="shared" si="4"/>
        <v>63.804376033687205</v>
      </c>
      <c r="I12" s="12">
        <f t="shared" si="5"/>
        <v>4276.9883541318159</v>
      </c>
      <c r="J12" s="8">
        <f t="shared" si="6"/>
        <v>13025.453143077517</v>
      </c>
      <c r="K12" s="15">
        <f t="shared" si="7"/>
        <v>691.12960452929963</v>
      </c>
      <c r="L12" s="16">
        <f t="shared" si="8"/>
        <v>831.08091035009079</v>
      </c>
      <c r="M12" s="18">
        <f t="shared" si="9"/>
        <v>-139.95130582079116</v>
      </c>
      <c r="N12" s="18">
        <f t="shared" si="10"/>
        <v>2542.7765248228607</v>
      </c>
    </row>
    <row r="13" spans="1:17">
      <c r="A13">
        <v>2019</v>
      </c>
      <c r="B13" s="2">
        <f>B9*((B14/B9)^(4/5))</f>
        <v>204.02968850355899</v>
      </c>
      <c r="C13" s="2">
        <f t="shared" si="0"/>
        <v>156.49077108222974</v>
      </c>
      <c r="D13" s="2">
        <f t="shared" si="1"/>
        <v>12.390519856757882</v>
      </c>
      <c r="E13" s="2">
        <f>E9*((E14/E9)^(4/5))</f>
        <v>53.108938369836771</v>
      </c>
      <c r="F13" s="2">
        <f t="shared" si="2"/>
        <v>5.9482010974217188</v>
      </c>
      <c r="G13" s="2">
        <f t="shared" si="3"/>
        <v>162.43897217965147</v>
      </c>
      <c r="H13" s="2">
        <f t="shared" si="4"/>
        <v>65.499458226594655</v>
      </c>
      <c r="I13" s="12">
        <f t="shared" si="5"/>
        <v>4276.9883541318159</v>
      </c>
      <c r="J13" s="8">
        <f t="shared" si="6"/>
        <v>13025.453143077517</v>
      </c>
      <c r="K13" s="15">
        <f t="shared" si="7"/>
        <v>694.74959226951148</v>
      </c>
      <c r="L13" s="16">
        <f t="shared" si="8"/>
        <v>853.16012402747185</v>
      </c>
      <c r="M13" s="18">
        <f t="shared" si="9"/>
        <v>-158.41053175796037</v>
      </c>
      <c r="N13" s="18">
        <f t="shared" si="10"/>
        <v>2458.1065122847631</v>
      </c>
    </row>
    <row r="14" spans="1:17">
      <c r="A14">
        <v>2020</v>
      </c>
      <c r="B14" s="2">
        <v>204.89699999999999</v>
      </c>
      <c r="C14" s="2">
        <f t="shared" si="0"/>
        <v>157.15599900000001</v>
      </c>
      <c r="D14" s="2">
        <f t="shared" si="1"/>
        <v>12.443190820466475</v>
      </c>
      <c r="E14" s="2">
        <v>54.804000000000002</v>
      </c>
      <c r="F14" s="2">
        <f t="shared" si="2"/>
        <v>6.1380480000000004</v>
      </c>
      <c r="G14" s="2">
        <f t="shared" si="3"/>
        <v>163.29404700000001</v>
      </c>
      <c r="H14" s="2">
        <f t="shared" si="4"/>
        <v>67.247190820466471</v>
      </c>
      <c r="I14" s="12">
        <f t="shared" si="5"/>
        <v>4276.9883541318159</v>
      </c>
      <c r="J14" s="8">
        <f t="shared" si="6"/>
        <v>13025.453143077517</v>
      </c>
      <c r="K14" s="15">
        <f t="shared" si="7"/>
        <v>698.40673731805339</v>
      </c>
      <c r="L14" s="16">
        <f t="shared" si="8"/>
        <v>875.92513303557848</v>
      </c>
      <c r="M14" s="18">
        <f t="shared" si="9"/>
        <v>-177.5183957175251</v>
      </c>
      <c r="N14" s="18">
        <f t="shared" si="10"/>
        <v>2351.8732054234961</v>
      </c>
      <c r="P14" t="s">
        <v>30</v>
      </c>
    </row>
    <row r="15" spans="1:17">
      <c r="A15">
        <v>2021</v>
      </c>
      <c r="B15" s="2">
        <f>B14*((B19/B14)^(1/5))</f>
        <v>205.64767929689069</v>
      </c>
      <c r="C15" s="2">
        <f t="shared" si="0"/>
        <v>157.73177002071515</v>
      </c>
      <c r="D15" s="2">
        <f t="shared" si="1"/>
        <v>12.488778826812027</v>
      </c>
      <c r="E15" s="2">
        <f>E14*((E19/E14)^(1/5))</f>
        <v>56.514448295346376</v>
      </c>
      <c r="F15" s="2">
        <f t="shared" si="2"/>
        <v>6.3296182090787942</v>
      </c>
      <c r="G15" s="2">
        <f t="shared" si="3"/>
        <v>164.06138822979395</v>
      </c>
      <c r="H15" s="2">
        <f t="shared" si="4"/>
        <v>69.003227122158407</v>
      </c>
      <c r="I15" s="12">
        <f t="shared" si="5"/>
        <v>4276.9883541318159</v>
      </c>
      <c r="J15" s="8">
        <f t="shared" si="6"/>
        <v>13025.453143077517</v>
      </c>
      <c r="K15" s="15">
        <f t="shared" si="7"/>
        <v>701.6886468215273</v>
      </c>
      <c r="L15" s="16">
        <f t="shared" si="8"/>
        <v>898.79830160081008</v>
      </c>
      <c r="M15" s="18">
        <f t="shared" si="9"/>
        <v>-197.10965477928278</v>
      </c>
      <c r="N15" s="18">
        <f t="shared" si="10"/>
        <v>2222.9678736014944</v>
      </c>
      <c r="Q15" t="s">
        <v>29</v>
      </c>
    </row>
    <row r="16" spans="1:17">
      <c r="A16">
        <v>2022</v>
      </c>
      <c r="B16" s="2">
        <f>B14*((B19/B14)^(2/5))</f>
        <v>206.40110885077283</v>
      </c>
      <c r="C16" s="2">
        <f t="shared" si="0"/>
        <v>158.30965048854276</v>
      </c>
      <c r="D16" s="2">
        <f t="shared" si="1"/>
        <v>12.534533853526593</v>
      </c>
      <c r="E16" s="2">
        <f>E14*((E19/E14)^(2/5))</f>
        <v>58.278280164356225</v>
      </c>
      <c r="F16" s="2">
        <f t="shared" si="2"/>
        <v>6.5271673784078974</v>
      </c>
      <c r="G16" s="2">
        <f t="shared" si="3"/>
        <v>164.83681786695067</v>
      </c>
      <c r="H16" s="2">
        <f t="shared" si="4"/>
        <v>70.812814017882815</v>
      </c>
      <c r="I16" s="12">
        <f t="shared" si="5"/>
        <v>4276.9883541318159</v>
      </c>
      <c r="J16" s="8">
        <f t="shared" si="6"/>
        <v>13025.453143077517</v>
      </c>
      <c r="K16" s="15">
        <f t="shared" si="7"/>
        <v>705.00515034909517</v>
      </c>
      <c r="L16" s="16">
        <f t="shared" si="8"/>
        <v>922.3689909193954</v>
      </c>
      <c r="M16" s="18">
        <f t="shared" si="9"/>
        <v>-217.36384057030023</v>
      </c>
      <c r="N16" s="18">
        <f t="shared" si="10"/>
        <v>2070.0701013656371</v>
      </c>
      <c r="P16" t="s">
        <v>31</v>
      </c>
      <c r="Q16" s="28">
        <f>Projections!N44</f>
        <v>-11832.636481745963</v>
      </c>
    </row>
    <row r="17" spans="1:17">
      <c r="A17">
        <v>2023</v>
      </c>
      <c r="B17" s="2">
        <f>B14*((B19/B14)^(3/5))</f>
        <v>207.15729873773833</v>
      </c>
      <c r="C17" s="2">
        <f t="shared" si="0"/>
        <v>158.88964813184529</v>
      </c>
      <c r="D17" s="2">
        <f t="shared" si="1"/>
        <v>12.580456512521204</v>
      </c>
      <c r="E17" s="2">
        <f>E14*((E19/E14)^(3/5))</f>
        <v>60.097161723418353</v>
      </c>
      <c r="F17" s="2">
        <f t="shared" si="2"/>
        <v>6.7308821130228553</v>
      </c>
      <c r="G17" s="2">
        <f t="shared" si="3"/>
        <v>165.62053024486815</v>
      </c>
      <c r="H17" s="2">
        <f t="shared" si="4"/>
        <v>72.677618235939562</v>
      </c>
      <c r="I17" s="12">
        <f t="shared" si="5"/>
        <v>4276.9883541318159</v>
      </c>
      <c r="J17" s="8">
        <f t="shared" si="6"/>
        <v>13025.453143077517</v>
      </c>
      <c r="K17" s="15">
        <f t="shared" si="7"/>
        <v>708.35707906243726</v>
      </c>
      <c r="L17" s="16">
        <f t="shared" si="8"/>
        <v>946.65891088270689</v>
      </c>
      <c r="M17" s="18">
        <f t="shared" si="9"/>
        <v>-238.30183182026963</v>
      </c>
      <c r="N17" s="18">
        <f t="shared" si="10"/>
        <v>1891.8003024849706</v>
      </c>
      <c r="P17" s="27">
        <v>0</v>
      </c>
      <c r="Q17" s="18">
        <f t="dataTable" ref="Q17:Q22" dt2D="0" dtr="0" r1="P11"/>
        <v>-10221.566413798328</v>
      </c>
    </row>
    <row r="18" spans="1:17">
      <c r="A18">
        <v>2024</v>
      </c>
      <c r="B18" s="2">
        <f>B14*((B19/B14)^(4/5))</f>
        <v>207.91625907079455</v>
      </c>
      <c r="C18" s="2">
        <f t="shared" si="0"/>
        <v>159.47177070729941</v>
      </c>
      <c r="D18" s="2">
        <f t="shared" si="1"/>
        <v>12.626547417948727</v>
      </c>
      <c r="E18" s="2">
        <f>E14*((E19/E14)^(4/5))</f>
        <v>61.972811088883951</v>
      </c>
      <c r="F18" s="2">
        <f t="shared" si="2"/>
        <v>6.9409548419550022</v>
      </c>
      <c r="G18" s="2">
        <f t="shared" si="3"/>
        <v>166.41272554925442</v>
      </c>
      <c r="H18" s="2">
        <f t="shared" si="4"/>
        <v>74.599358506832672</v>
      </c>
      <c r="I18" s="12">
        <f t="shared" si="5"/>
        <v>4276.9883541318159</v>
      </c>
      <c r="J18" s="8">
        <f t="shared" si="6"/>
        <v>13025.453143077517</v>
      </c>
      <c r="K18" s="15">
        <f t="shared" si="7"/>
        <v>711.74528915349526</v>
      </c>
      <c r="L18" s="16">
        <f t="shared" si="8"/>
        <v>971.69044873439009</v>
      </c>
      <c r="M18" s="18">
        <f t="shared" si="9"/>
        <v>-259.94515958089482</v>
      </c>
      <c r="N18" s="18">
        <f t="shared" si="10"/>
        <v>1686.7173516761397</v>
      </c>
      <c r="P18" s="27">
        <v>0.01</v>
      </c>
      <c r="Q18" s="18">
        <v>-10976.215230296308</v>
      </c>
    </row>
    <row r="19" spans="1:17">
      <c r="A19">
        <v>2025</v>
      </c>
      <c r="B19" s="2">
        <v>208.678</v>
      </c>
      <c r="C19" s="2">
        <f t="shared" si="0"/>
        <v>160.056026</v>
      </c>
      <c r="D19" s="2">
        <f t="shared" si="1"/>
        <v>12.672807186212111</v>
      </c>
      <c r="E19" s="2">
        <v>63.906999999999996</v>
      </c>
      <c r="F19" s="2">
        <f t="shared" si="2"/>
        <v>7.1575839999999999</v>
      </c>
      <c r="G19" s="2">
        <f t="shared" si="3"/>
        <v>167.21361000000002</v>
      </c>
      <c r="H19" s="2">
        <f t="shared" si="4"/>
        <v>76.579807186212108</v>
      </c>
      <c r="I19" s="12">
        <f t="shared" si="5"/>
        <v>4276.9883541318159</v>
      </c>
      <c r="J19" s="8">
        <f t="shared" si="6"/>
        <v>13025.453143077517</v>
      </c>
      <c r="K19" s="15">
        <f t="shared" si="7"/>
        <v>715.17066262233948</v>
      </c>
      <c r="L19" s="16">
        <f t="shared" si="8"/>
        <v>997.48669020991667</v>
      </c>
      <c r="M19" s="18">
        <f t="shared" si="9"/>
        <v>-282.3160275875772</v>
      </c>
      <c r="N19" s="18">
        <f t="shared" si="10"/>
        <v>1453.3161272871703</v>
      </c>
      <c r="P19" s="27">
        <v>0.02</v>
      </c>
      <c r="Q19" s="18">
        <v>-11571.472875940874</v>
      </c>
    </row>
    <row r="20" spans="1:17">
      <c r="A20">
        <v>2026</v>
      </c>
      <c r="B20" s="2">
        <f>B19*((B24/B19)^(1/5))</f>
        <v>209.65265293561032</v>
      </c>
      <c r="C20" s="2">
        <f t="shared" si="0"/>
        <v>160.80358480161311</v>
      </c>
      <c r="D20" s="2">
        <f t="shared" si="1"/>
        <v>12.731996888655424</v>
      </c>
      <c r="E20" s="2">
        <f>E19*((E24/E19)^(1/5))</f>
        <v>65.466053260854807</v>
      </c>
      <c r="F20" s="2">
        <f t="shared" si="2"/>
        <v>7.3321979652157383</v>
      </c>
      <c r="G20" s="2">
        <f t="shared" si="3"/>
        <v>168.13578276682884</v>
      </c>
      <c r="H20" s="2">
        <f t="shared" si="4"/>
        <v>78.198050149510237</v>
      </c>
      <c r="I20" s="12">
        <f t="shared" si="5"/>
        <v>4276.9883541318159</v>
      </c>
      <c r="J20" s="8">
        <f t="shared" si="6"/>
        <v>13025.453143077517</v>
      </c>
      <c r="K20" s="15">
        <f t="shared" si="7"/>
        <v>719.11478480656376</v>
      </c>
      <c r="L20" s="16">
        <f t="shared" si="8"/>
        <v>1018.5650381024714</v>
      </c>
      <c r="M20" s="18">
        <f t="shared" si="9"/>
        <v>-299.4502532959076</v>
      </c>
      <c r="N20" s="18">
        <f t="shared" si="10"/>
        <v>1196.0120416825903</v>
      </c>
      <c r="P20" s="27">
        <v>0.03</v>
      </c>
      <c r="Q20" s="18">
        <v>-11837.823421068724</v>
      </c>
    </row>
    <row r="21" spans="1:17">
      <c r="A21">
        <v>2027</v>
      </c>
      <c r="B21" s="2">
        <f>B19*((B24/B19)^(2/5))</f>
        <v>210.6318580920819</v>
      </c>
      <c r="C21" s="2">
        <f t="shared" si="0"/>
        <v>161.55463515662683</v>
      </c>
      <c r="D21" s="2">
        <f t="shared" si="1"/>
        <v>12.791463042939577</v>
      </c>
      <c r="E21" s="2">
        <f>E19*((E24/E19)^(2/5))</f>
        <v>67.063140650524659</v>
      </c>
      <c r="F21" s="2">
        <f t="shared" si="2"/>
        <v>7.5110717528587623</v>
      </c>
      <c r="G21" s="2">
        <f t="shared" si="3"/>
        <v>169.06570690948558</v>
      </c>
      <c r="H21" s="2">
        <f t="shared" si="4"/>
        <v>79.854603693464242</v>
      </c>
      <c r="I21" s="12">
        <f t="shared" si="5"/>
        <v>4276.9883541318159</v>
      </c>
      <c r="J21" s="8">
        <f t="shared" si="6"/>
        <v>13025.453143077517</v>
      </c>
      <c r="K21" s="15">
        <f t="shared" si="7"/>
        <v>723.09205953493267</v>
      </c>
      <c r="L21" s="16">
        <f t="shared" si="8"/>
        <v>1040.1423986682432</v>
      </c>
      <c r="M21" s="18">
        <f t="shared" si="9"/>
        <v>-317.05033913331056</v>
      </c>
      <c r="N21" s="18">
        <f t="shared" si="10"/>
        <v>913.6460517580748</v>
      </c>
      <c r="P21" s="27">
        <v>0.04</v>
      </c>
      <c r="Q21" s="18">
        <v>-11508.901572303845</v>
      </c>
    </row>
    <row r="22" spans="1:17">
      <c r="A22">
        <v>2028</v>
      </c>
      <c r="B22" s="2">
        <f>B19*((B24/B19)^(3/5))</f>
        <v>211.61563673104965</v>
      </c>
      <c r="C22" s="2">
        <f t="shared" si="0"/>
        <v>162.30919337271507</v>
      </c>
      <c r="D22" s="2">
        <f t="shared" si="1"/>
        <v>12.851206940262498</v>
      </c>
      <c r="E22" s="2">
        <f>E19*((E24/E19)^(3/5))</f>
        <v>68.699190036575715</v>
      </c>
      <c r="F22" s="2">
        <f t="shared" si="2"/>
        <v>7.6943092840964802</v>
      </c>
      <c r="G22" s="2">
        <f t="shared" si="3"/>
        <v>170.00350265681155</v>
      </c>
      <c r="H22" s="2">
        <f t="shared" si="4"/>
        <v>81.550396976838215</v>
      </c>
      <c r="I22" s="12">
        <f t="shared" si="5"/>
        <v>4276.9883541318159</v>
      </c>
      <c r="J22" s="8">
        <f t="shared" si="6"/>
        <v>13025.453143077517</v>
      </c>
      <c r="K22" s="15">
        <f t="shared" si="7"/>
        <v>727.10300102480028</v>
      </c>
      <c r="L22" s="16">
        <f t="shared" si="8"/>
        <v>1062.2308746211766</v>
      </c>
      <c r="M22" s="18">
        <f t="shared" si="9"/>
        <v>-335.12787359637628</v>
      </c>
      <c r="N22" s="18">
        <f t="shared" si="10"/>
        <v>605.01391366268263</v>
      </c>
      <c r="P22" s="27">
        <v>0.05</v>
      </c>
      <c r="Q22" s="18">
        <v>-10174.628049229432</v>
      </c>
    </row>
    <row r="23" spans="1:17">
      <c r="A23">
        <v>2029</v>
      </c>
      <c r="B23" s="2">
        <f>B19*((B24/B19)^(4/5))</f>
        <v>212.60401021345294</v>
      </c>
      <c r="C23" s="2">
        <f t="shared" si="0"/>
        <v>163.06727583371841</v>
      </c>
      <c r="D23" s="2">
        <f t="shared" si="1"/>
        <v>12.911229877852767</v>
      </c>
      <c r="E23" s="2">
        <f>E19*((E24/E19)^(4/5))</f>
        <v>70.375151922513226</v>
      </c>
      <c r="F23" s="2">
        <f t="shared" si="2"/>
        <v>7.8820170153214812</v>
      </c>
      <c r="G23" s="2">
        <f t="shared" si="3"/>
        <v>170.94929284903989</v>
      </c>
      <c r="H23" s="2">
        <f t="shared" si="4"/>
        <v>83.286381800365987</v>
      </c>
      <c r="I23" s="12">
        <f t="shared" si="5"/>
        <v>4276.9883541318159</v>
      </c>
      <c r="J23" s="8">
        <f t="shared" si="6"/>
        <v>13025.453143077517</v>
      </c>
      <c r="K23" s="15">
        <f t="shared" si="7"/>
        <v>731.14813466241287</v>
      </c>
      <c r="L23" s="16">
        <f t="shared" si="8"/>
        <v>1084.8428635971313</v>
      </c>
      <c r="M23" s="18">
        <f t="shared" si="9"/>
        <v>-353.69472893471846</v>
      </c>
      <c r="N23" s="18">
        <f t="shared" si="10"/>
        <v>268.86458822418194</v>
      </c>
    </row>
    <row r="24" spans="1:17">
      <c r="A24">
        <v>2030</v>
      </c>
      <c r="B24" s="2">
        <v>213.59700000000001</v>
      </c>
      <c r="C24" s="2">
        <f t="shared" si="0"/>
        <v>163.82889900000001</v>
      </c>
      <c r="D24" s="2">
        <f t="shared" si="1"/>
        <v>12.971533158997827</v>
      </c>
      <c r="E24" s="2">
        <v>72.091999999999999</v>
      </c>
      <c r="F24" s="2">
        <f t="shared" si="2"/>
        <v>8.0743039999999997</v>
      </c>
      <c r="G24" s="2">
        <f t="shared" si="3"/>
        <v>171.90320300000002</v>
      </c>
      <c r="H24" s="2">
        <f t="shared" si="4"/>
        <v>85.063533158997828</v>
      </c>
      <c r="I24" s="12">
        <f t="shared" si="5"/>
        <v>4276.9883541318159</v>
      </c>
      <c r="J24" s="8">
        <f t="shared" si="6"/>
        <v>13025.453143077517</v>
      </c>
      <c r="K24" s="15">
        <f t="shared" si="7"/>
        <v>735.22799726895755</v>
      </c>
      <c r="L24" s="16">
        <f t="shared" si="8"/>
        <v>1107.991065347147</v>
      </c>
      <c r="M24" s="18">
        <f t="shared" si="9"/>
        <v>-372.76306807818946</v>
      </c>
      <c r="N24" s="18">
        <f t="shared" si="10"/>
        <v>-96.10140679550625</v>
      </c>
    </row>
    <row r="25" spans="1:17">
      <c r="A25">
        <v>2031</v>
      </c>
      <c r="B25" s="2">
        <f>B24*((B29/B24)^(1/5))</f>
        <v>215.10923506346009</v>
      </c>
      <c r="C25" s="2">
        <f t="shared" si="0"/>
        <v>164.98878329367389</v>
      </c>
      <c r="D25" s="2">
        <f t="shared" si="1"/>
        <v>13.063369688864219</v>
      </c>
      <c r="E25" s="2">
        <f>E24*((E29/E24)^(1/5))</f>
        <v>73.150648234683203</v>
      </c>
      <c r="F25" s="2">
        <f t="shared" si="2"/>
        <v>8.1928726022845186</v>
      </c>
      <c r="G25" s="2">
        <f t="shared" si="3"/>
        <v>173.18165589595841</v>
      </c>
      <c r="H25" s="2">
        <f t="shared" si="4"/>
        <v>86.214017923547416</v>
      </c>
      <c r="I25" s="12">
        <f t="shared" si="5"/>
        <v>4276.9883541318159</v>
      </c>
      <c r="J25" s="8">
        <f t="shared" si="6"/>
        <v>13025.453143077517</v>
      </c>
      <c r="K25" s="15">
        <f t="shared" si="7"/>
        <v>740.69592541627776</v>
      </c>
      <c r="L25" s="16">
        <f t="shared" si="8"/>
        <v>1122.9766507396121</v>
      </c>
      <c r="M25" s="18">
        <f t="shared" si="9"/>
        <v>-382.28072532333431</v>
      </c>
      <c r="N25" s="18">
        <f t="shared" si="10"/>
        <v>-481.16907291591025</v>
      </c>
    </row>
    <row r="26" spans="1:17">
      <c r="A26">
        <v>2032</v>
      </c>
      <c r="B26" s="2">
        <f>B24*((B29/B24)^(2/5))</f>
        <v>216.63217652676269</v>
      </c>
      <c r="C26" s="2">
        <f t="shared" si="0"/>
        <v>166.15687939602699</v>
      </c>
      <c r="D26" s="2">
        <f t="shared" si="1"/>
        <v>13.155856407734065</v>
      </c>
      <c r="E26" s="2">
        <f>E24*((E29/E24)^(2/5))</f>
        <v>74.224842384097528</v>
      </c>
      <c r="F26" s="2">
        <f t="shared" si="2"/>
        <v>8.3131823470189232</v>
      </c>
      <c r="G26" s="2">
        <f t="shared" si="3"/>
        <v>174.4700617430459</v>
      </c>
      <c r="H26" s="2">
        <f t="shared" si="4"/>
        <v>87.380698791831591</v>
      </c>
      <c r="I26" s="12">
        <f t="shared" si="5"/>
        <v>4276.9883541318159</v>
      </c>
      <c r="J26" s="8">
        <f t="shared" si="6"/>
        <v>13025.453143077517</v>
      </c>
      <c r="K26" s="15">
        <f t="shared" si="7"/>
        <v>746.20642221966614</v>
      </c>
      <c r="L26" s="16">
        <f t="shared" si="8"/>
        <v>1138.1731977223726</v>
      </c>
      <c r="M26" s="18">
        <f t="shared" si="9"/>
        <v>-391.96677550270647</v>
      </c>
      <c r="N26" s="18">
        <f t="shared" si="10"/>
        <v>-887.08975153317806</v>
      </c>
    </row>
    <row r="27" spans="1:17">
      <c r="A27">
        <v>2033</v>
      </c>
      <c r="B27" s="2">
        <f>B24*((B29/B24)^(3/5))</f>
        <v>218.16590018962992</v>
      </c>
      <c r="C27" s="2">
        <f t="shared" si="0"/>
        <v>167.33324544544615</v>
      </c>
      <c r="D27" s="2">
        <f t="shared" si="1"/>
        <v>13.248997918849023</v>
      </c>
      <c r="E27" s="2">
        <f>E24*((E29/E24)^(3/5))</f>
        <v>75.314810735087434</v>
      </c>
      <c r="F27" s="2">
        <f t="shared" si="2"/>
        <v>8.435258802329793</v>
      </c>
      <c r="G27" s="2">
        <f t="shared" si="3"/>
        <v>175.76850424777595</v>
      </c>
      <c r="H27" s="2">
        <f t="shared" si="4"/>
        <v>88.563808653936462</v>
      </c>
      <c r="I27" s="12">
        <f t="shared" si="5"/>
        <v>4276.9883541318159</v>
      </c>
      <c r="J27" s="8">
        <f t="shared" si="6"/>
        <v>13025.453143077517</v>
      </c>
      <c r="K27" s="15">
        <f t="shared" si="7"/>
        <v>751.75984569090645</v>
      </c>
      <c r="L27" s="16">
        <f t="shared" si="8"/>
        <v>1153.5837397943326</v>
      </c>
      <c r="M27" s="18">
        <f t="shared" si="9"/>
        <v>-401.82389410342614</v>
      </c>
      <c r="N27" s="18">
        <f t="shared" si="10"/>
        <v>-1314.6392484310663</v>
      </c>
    </row>
    <row r="28" spans="1:17">
      <c r="A28">
        <v>2034</v>
      </c>
      <c r="B28" s="2">
        <f>B24*((B29/B24)^(4/5))</f>
        <v>219.71048238843468</v>
      </c>
      <c r="C28" s="2">
        <f t="shared" si="0"/>
        <v>168.51793999192941</v>
      </c>
      <c r="D28" s="2">
        <f t="shared" si="1"/>
        <v>13.342798858041023</v>
      </c>
      <c r="E28" s="2">
        <f>E24*((E29/E24)^(4/5))</f>
        <v>76.420784926817433</v>
      </c>
      <c r="F28" s="2">
        <f t="shared" si="2"/>
        <v>8.5591279118035519</v>
      </c>
      <c r="G28" s="2">
        <f t="shared" si="3"/>
        <v>177.07706790373297</v>
      </c>
      <c r="H28" s="2">
        <f t="shared" si="4"/>
        <v>89.763583784858454</v>
      </c>
      <c r="I28" s="12">
        <f t="shared" si="5"/>
        <v>4276.9883541318159</v>
      </c>
      <c r="J28" s="8">
        <f t="shared" si="6"/>
        <v>13025.453143077517</v>
      </c>
      <c r="K28" s="15">
        <f t="shared" si="7"/>
        <v>757.35655720807461</v>
      </c>
      <c r="L28" s="16">
        <f t="shared" si="8"/>
        <v>1169.2113545443865</v>
      </c>
      <c r="M28" s="18">
        <f t="shared" si="9"/>
        <v>-411.85479733631189</v>
      </c>
      <c r="N28" s="18">
        <f t="shared" si="10"/>
        <v>-1764.6185839718792</v>
      </c>
    </row>
    <row r="29" spans="1:17">
      <c r="A29">
        <v>2035</v>
      </c>
      <c r="B29" s="2">
        <v>221.26599999999999</v>
      </c>
      <c r="C29" s="2">
        <f t="shared" si="0"/>
        <v>169.71102199999999</v>
      </c>
      <c r="D29" s="2">
        <f t="shared" si="1"/>
        <v>13.43726389396299</v>
      </c>
      <c r="E29" s="2">
        <v>77.543000000000006</v>
      </c>
      <c r="F29" s="2">
        <f t="shared" si="2"/>
        <v>8.6848160000000014</v>
      </c>
      <c r="G29" s="2">
        <f t="shared" si="3"/>
        <v>178.395838</v>
      </c>
      <c r="H29" s="2">
        <f t="shared" si="4"/>
        <v>90.980263893962999</v>
      </c>
      <c r="I29" s="12">
        <f t="shared" si="5"/>
        <v>4276.9883541318159</v>
      </c>
      <c r="J29" s="8">
        <f t="shared" si="6"/>
        <v>13025.453143077517</v>
      </c>
      <c r="K29" s="15">
        <f t="shared" si="7"/>
        <v>762.99692155158596</v>
      </c>
      <c r="L29" s="16">
        <f t="shared" si="8"/>
        <v>1185.0591642956422</v>
      </c>
      <c r="M29" s="18">
        <f t="shared" si="9"/>
        <v>-422.06224274405622</v>
      </c>
      <c r="N29" s="18">
        <f t="shared" si="10"/>
        <v>-2237.85476565112</v>
      </c>
    </row>
    <row r="30" spans="1:17">
      <c r="A30">
        <v>2036</v>
      </c>
      <c r="B30" s="2">
        <f>B29*((B34/B29)^(1/5))</f>
        <v>223.06936386186467</v>
      </c>
      <c r="C30" s="2">
        <f t="shared" si="0"/>
        <v>171.0942020820502</v>
      </c>
      <c r="D30" s="2">
        <f t="shared" si="1"/>
        <v>13.546780385917074</v>
      </c>
      <c r="E30" s="2">
        <f>E29*((E34/E29)^(1/5))</f>
        <v>78.268304122283197</v>
      </c>
      <c r="F30" s="2">
        <f t="shared" si="2"/>
        <v>8.7660500616957187</v>
      </c>
      <c r="G30" s="2">
        <f t="shared" si="3"/>
        <v>179.86025214374592</v>
      </c>
      <c r="H30" s="2">
        <f t="shared" si="4"/>
        <v>91.815084508200272</v>
      </c>
      <c r="I30" s="12">
        <f t="shared" si="5"/>
        <v>4276.9883541318159</v>
      </c>
      <c r="J30" s="8">
        <f t="shared" si="6"/>
        <v>13025.453143077517</v>
      </c>
      <c r="K30" s="15">
        <f t="shared" si="7"/>
        <v>769.26020379001329</v>
      </c>
      <c r="L30" s="16">
        <f t="shared" si="8"/>
        <v>1195.933081089265</v>
      </c>
      <c r="M30" s="18">
        <f t="shared" si="9"/>
        <v>-426.6728772992517</v>
      </c>
      <c r="N30" s="18">
        <f t="shared" si="10"/>
        <v>-2729.4254311542536</v>
      </c>
    </row>
    <row r="31" spans="1:17">
      <c r="A31">
        <v>2037</v>
      </c>
      <c r="B31" s="2">
        <f>B29*((B34/B29)^(2/5))</f>
        <v>224.88742551380224</v>
      </c>
      <c r="C31" s="2">
        <f t="shared" si="0"/>
        <v>172.48865536908633</v>
      </c>
      <c r="D31" s="2">
        <f t="shared" si="1"/>
        <v>13.657189460029587</v>
      </c>
      <c r="E31" s="2">
        <f>E29*((E34/E29)^(2/5))</f>
        <v>79.000392429725594</v>
      </c>
      <c r="F31" s="2">
        <f t="shared" si="2"/>
        <v>8.8480439521292666</v>
      </c>
      <c r="G31" s="2">
        <f t="shared" si="3"/>
        <v>181.3366993212156</v>
      </c>
      <c r="H31" s="2">
        <f t="shared" si="4"/>
        <v>92.657581889755178</v>
      </c>
      <c r="I31" s="12">
        <f t="shared" si="5"/>
        <v>4276.9883541318159</v>
      </c>
      <c r="J31" s="8">
        <f t="shared" si="6"/>
        <v>13025.453143077517</v>
      </c>
      <c r="K31" s="15">
        <f t="shared" si="7"/>
        <v>775.57495117354199</v>
      </c>
      <c r="L31" s="16">
        <f t="shared" si="8"/>
        <v>1206.9069912558741</v>
      </c>
      <c r="M31" s="18">
        <f t="shared" si="9"/>
        <v>-431.33204008233213</v>
      </c>
      <c r="N31" s="18">
        <f t="shared" si="10"/>
        <v>-3239.9108087400591</v>
      </c>
    </row>
    <row r="32" spans="1:17">
      <c r="A32">
        <v>2038</v>
      </c>
      <c r="B32" s="2">
        <f>B29*((B34/B29)^(3/5))</f>
        <v>226.72030474585495</v>
      </c>
      <c r="C32" s="2">
        <f t="shared" si="0"/>
        <v>173.89447374007074</v>
      </c>
      <c r="D32" s="2">
        <f t="shared" si="1"/>
        <v>13.768498391030539</v>
      </c>
      <c r="E32" s="2">
        <f>E29*((E34/E29)^(3/5))</f>
        <v>79.739328378699312</v>
      </c>
      <c r="F32" s="2">
        <f t="shared" si="2"/>
        <v>8.9308047784143234</v>
      </c>
      <c r="G32" s="2">
        <f t="shared" si="3"/>
        <v>182.82527851848505</v>
      </c>
      <c r="H32" s="2">
        <f t="shared" si="4"/>
        <v>93.507826769729846</v>
      </c>
      <c r="I32" s="12">
        <f t="shared" si="5"/>
        <v>4276.9883541318159</v>
      </c>
      <c r="J32" s="8">
        <f t="shared" si="6"/>
        <v>13025.453143077517</v>
      </c>
      <c r="K32" s="15">
        <f t="shared" si="7"/>
        <v>781.94158706446626</v>
      </c>
      <c r="L32" s="16">
        <f t="shared" si="8"/>
        <v>1217.9818161001256</v>
      </c>
      <c r="M32" s="18">
        <f t="shared" si="9"/>
        <v>-436.04022903565931</v>
      </c>
      <c r="N32" s="18">
        <f t="shared" si="10"/>
        <v>-3769.9084512291797</v>
      </c>
    </row>
    <row r="33" spans="1:14">
      <c r="A33">
        <v>2039</v>
      </c>
      <c r="B33" s="2">
        <f>B29*((B34/B29)^(4/5))</f>
        <v>228.56812232437861</v>
      </c>
      <c r="C33" s="2">
        <f t="shared" si="0"/>
        <v>175.31174982279839</v>
      </c>
      <c r="D33" s="2">
        <f t="shared" si="1"/>
        <v>13.880714512940484</v>
      </c>
      <c r="E33" s="2">
        <f>E29*((E34/E29)^(4/5))</f>
        <v>80.485176019120274</v>
      </c>
      <c r="F33" s="2">
        <f t="shared" si="2"/>
        <v>9.0143397141414709</v>
      </c>
      <c r="G33" s="2">
        <f t="shared" si="3"/>
        <v>184.32608953693986</v>
      </c>
      <c r="H33" s="2">
        <f t="shared" si="4"/>
        <v>94.36589053206076</v>
      </c>
      <c r="I33" s="12">
        <f t="shared" si="5"/>
        <v>4276.9883541318159</v>
      </c>
      <c r="J33" s="8">
        <f t="shared" si="6"/>
        <v>13025.453143077517</v>
      </c>
      <c r="K33" s="15">
        <f t="shared" si="7"/>
        <v>788.3605383121502</v>
      </c>
      <c r="L33" s="16">
        <f t="shared" si="8"/>
        <v>1229.1584854301398</v>
      </c>
      <c r="M33" s="18">
        <f t="shared" si="9"/>
        <v>-440.79794711798957</v>
      </c>
      <c r="N33" s="18">
        <f t="shared" si="10"/>
        <v>-4320.0337434328148</v>
      </c>
    </row>
    <row r="34" spans="1:14">
      <c r="A34">
        <v>2040</v>
      </c>
      <c r="B34" s="2">
        <v>230.43100000000001</v>
      </c>
      <c r="C34" s="2">
        <f t="shared" si="0"/>
        <v>176.740577</v>
      </c>
      <c r="D34" s="2">
        <f t="shared" si="1"/>
        <v>13.993845219553778</v>
      </c>
      <c r="E34" s="2">
        <v>81.238</v>
      </c>
      <c r="F34" s="2">
        <f t="shared" si="2"/>
        <v>9.0986560000000001</v>
      </c>
      <c r="G34" s="2">
        <f t="shared" si="3"/>
        <v>185.83923300000001</v>
      </c>
      <c r="H34" s="2">
        <f t="shared" si="4"/>
        <v>95.231845219553776</v>
      </c>
      <c r="I34" s="12">
        <f t="shared" si="5"/>
        <v>4276.9883541318159</v>
      </c>
      <c r="J34" s="8">
        <f t="shared" si="6"/>
        <v>13025.453143077517</v>
      </c>
      <c r="K34" s="15">
        <f t="shared" si="7"/>
        <v>794.83223528178905</v>
      </c>
      <c r="L34" s="16">
        <f t="shared" si="8"/>
        <v>1240.4379376361085</v>
      </c>
      <c r="M34" s="18">
        <f t="shared" si="9"/>
        <v>-445.60570235431942</v>
      </c>
      <c r="N34" s="18">
        <f t="shared" si="10"/>
        <v>-4890.9204243466847</v>
      </c>
    </row>
    <row r="35" spans="1:14">
      <c r="A35">
        <v>2041</v>
      </c>
      <c r="B35" s="2">
        <f>B34*((B39/B34)^(1/5))</f>
        <v>232.30080804985718</v>
      </c>
      <c r="C35" s="2">
        <f t="shared" si="0"/>
        <v>178.17471977424046</v>
      </c>
      <c r="D35" s="2">
        <f t="shared" si="1"/>
        <v>14.10739680089473</v>
      </c>
      <c r="E35" s="2">
        <f>E34*((E39/E34)^(1/5))</f>
        <v>81.871638132323511</v>
      </c>
      <c r="F35" s="2">
        <f t="shared" si="2"/>
        <v>9.169623470820234</v>
      </c>
      <c r="G35" s="2">
        <f t="shared" si="3"/>
        <v>187.34434324506068</v>
      </c>
      <c r="H35" s="2">
        <f t="shared" si="4"/>
        <v>95.979034933218244</v>
      </c>
      <c r="I35" s="12">
        <f t="shared" si="5"/>
        <v>4276.9883541318159</v>
      </c>
      <c r="J35" s="8">
        <f t="shared" si="6"/>
        <v>13025.453143077517</v>
      </c>
      <c r="K35" s="15">
        <f t="shared" si="7"/>
        <v>801.26957427159812</v>
      </c>
      <c r="L35" s="16">
        <f t="shared" si="8"/>
        <v>1250.1704222404344</v>
      </c>
      <c r="M35" s="18">
        <f t="shared" si="9"/>
        <v>-448.90084796883627</v>
      </c>
      <c r="N35" s="18">
        <f t="shared" si="10"/>
        <v>-5481.6579646215741</v>
      </c>
    </row>
    <row r="36" spans="1:14">
      <c r="A36">
        <v>2042</v>
      </c>
      <c r="B36" s="2">
        <f>B34*((B39/B34)^(2/5))</f>
        <v>234.18578845995802</v>
      </c>
      <c r="C36" s="2">
        <f t="shared" si="0"/>
        <v>179.62049974878781</v>
      </c>
      <c r="D36" s="2">
        <f t="shared" si="1"/>
        <v>14.221869784568117</v>
      </c>
      <c r="E36" s="2">
        <f>E34*((E39/E34)^(2/5))</f>
        <v>82.510218499595396</v>
      </c>
      <c r="F36" s="2">
        <f t="shared" si="2"/>
        <v>9.2411444719546854</v>
      </c>
      <c r="G36" s="2">
        <f t="shared" si="3"/>
        <v>188.86164422074251</v>
      </c>
      <c r="H36" s="2">
        <f t="shared" si="4"/>
        <v>96.73208828416351</v>
      </c>
      <c r="I36" s="12">
        <f t="shared" si="5"/>
        <v>4276.9883541318159</v>
      </c>
      <c r="J36" s="8">
        <f t="shared" si="6"/>
        <v>13025.453143077517</v>
      </c>
      <c r="K36" s="15">
        <f t="shared" si="7"/>
        <v>807.75905287430203</v>
      </c>
      <c r="L36" s="16">
        <f t="shared" si="8"/>
        <v>1259.9792833774095</v>
      </c>
      <c r="M36" s="18">
        <f t="shared" si="9"/>
        <v>-452.22023050310747</v>
      </c>
      <c r="N36" s="18">
        <f t="shared" si="10"/>
        <v>-6092.8462760987068</v>
      </c>
    </row>
    <row r="37" spans="1:14">
      <c r="A37">
        <v>2043</v>
      </c>
      <c r="B37" s="2">
        <f>B34*((B39/B34)^(3/5))</f>
        <v>236.08606434481979</v>
      </c>
      <c r="C37" s="2">
        <f t="shared" si="0"/>
        <v>181.07801135247678</v>
      </c>
      <c r="D37" s="2">
        <f t="shared" si="1"/>
        <v>14.337271647196003</v>
      </c>
      <c r="E37" s="2">
        <f>E34*((E39/E34)^(3/5))</f>
        <v>83.153779650136869</v>
      </c>
      <c r="F37" s="2">
        <f t="shared" si="2"/>
        <v>9.3132233208153288</v>
      </c>
      <c r="G37" s="2">
        <f t="shared" si="3"/>
        <v>190.3912346732921</v>
      </c>
      <c r="H37" s="2">
        <f t="shared" si="4"/>
        <v>97.491051297332874</v>
      </c>
      <c r="I37" s="12">
        <f t="shared" si="5"/>
        <v>4276.9883541318159</v>
      </c>
      <c r="J37" s="8">
        <f t="shared" si="6"/>
        <v>13025.453143077517</v>
      </c>
      <c r="K37" s="15">
        <f t="shared" si="7"/>
        <v>814.30109342644789</v>
      </c>
      <c r="L37" s="16">
        <f t="shared" si="8"/>
        <v>1269.8651205427759</v>
      </c>
      <c r="M37" s="18">
        <f t="shared" si="9"/>
        <v>-455.56402711632802</v>
      </c>
      <c r="N37" s="18">
        <f t="shared" si="10"/>
        <v>-6725.102845221897</v>
      </c>
    </row>
    <row r="38" spans="1:14">
      <c r="A38">
        <v>2044</v>
      </c>
      <c r="B38" s="2">
        <f>B34*((B39/B34)^(4/5))</f>
        <v>238.0017598179594</v>
      </c>
      <c r="C38" s="2">
        <f t="shared" si="0"/>
        <v>182.54734978037487</v>
      </c>
      <c r="D38" s="2">
        <f t="shared" si="1"/>
        <v>14.453609926068705</v>
      </c>
      <c r="E38" s="2">
        <f>E34*((E39/E34)^(4/5))</f>
        <v>83.802360432937434</v>
      </c>
      <c r="F38" s="2">
        <f t="shared" si="2"/>
        <v>9.385864368488992</v>
      </c>
      <c r="G38" s="2">
        <f t="shared" si="3"/>
        <v>191.93321414886387</v>
      </c>
      <c r="H38" s="2">
        <f t="shared" si="4"/>
        <v>98.255970359006142</v>
      </c>
      <c r="I38" s="12">
        <f t="shared" si="5"/>
        <v>4276.9883541318159</v>
      </c>
      <c r="J38" s="8">
        <f t="shared" si="6"/>
        <v>13025.453143077517</v>
      </c>
      <c r="K38" s="15">
        <f t="shared" si="7"/>
        <v>820.89612168577855</v>
      </c>
      <c r="L38" s="16">
        <f t="shared" si="8"/>
        <v>1279.8285379388478</v>
      </c>
      <c r="M38" s="18">
        <f t="shared" si="9"/>
        <v>-458.93241625306928</v>
      </c>
      <c r="N38" s="18">
        <f t="shared" si="10"/>
        <v>-7379.0632439864012</v>
      </c>
    </row>
    <row r="39" spans="1:14">
      <c r="A39">
        <v>2045</v>
      </c>
      <c r="B39" s="2">
        <v>239.93299999999999</v>
      </c>
      <c r="C39" s="2">
        <f t="shared" si="0"/>
        <v>184.02861100000001</v>
      </c>
      <c r="D39" s="2">
        <f t="shared" si="1"/>
        <v>14.5708922196371</v>
      </c>
      <c r="E39" s="2">
        <v>84.456000000000003</v>
      </c>
      <c r="F39" s="2">
        <f t="shared" si="2"/>
        <v>9.4590720000000008</v>
      </c>
      <c r="G39" s="2">
        <f t="shared" si="3"/>
        <v>193.487683</v>
      </c>
      <c r="H39" s="2">
        <f t="shared" si="4"/>
        <v>99.026892219637105</v>
      </c>
      <c r="I39" s="12">
        <f t="shared" si="5"/>
        <v>4276.9883541318159</v>
      </c>
      <c r="J39" s="8">
        <f t="shared" si="6"/>
        <v>13025.453143077517</v>
      </c>
      <c r="K39" s="15">
        <f t="shared" si="7"/>
        <v>827.54456685894854</v>
      </c>
      <c r="L39" s="16">
        <f t="shared" si="8"/>
        <v>1289.8701445114705</v>
      </c>
      <c r="M39" s="18">
        <f t="shared" si="9"/>
        <v>-462.32557765252193</v>
      </c>
      <c r="N39" s="18">
        <f t="shared" si="10"/>
        <v>-8055.3816557145283</v>
      </c>
    </row>
    <row r="40" spans="1:14">
      <c r="A40">
        <v>2046</v>
      </c>
      <c r="B40" s="2">
        <f>B39*((B44/B39)^(1/5))</f>
        <v>241.69823385841983</v>
      </c>
      <c r="C40" s="2">
        <f t="shared" si="0"/>
        <v>185.38254536940801</v>
      </c>
      <c r="D40" s="2">
        <f t="shared" si="1"/>
        <v>14.678093114443106</v>
      </c>
      <c r="E40" s="2">
        <f>E39*((E44/E39)^(1/5))</f>
        <v>85.258792429477367</v>
      </c>
      <c r="F40" s="2">
        <f t="shared" si="2"/>
        <v>9.5489847521014646</v>
      </c>
      <c r="G40" s="2">
        <f t="shared" si="3"/>
        <v>194.93153012150947</v>
      </c>
      <c r="H40" s="2">
        <f t="shared" si="4"/>
        <v>99.936885543920468</v>
      </c>
      <c r="I40" s="12">
        <f t="shared" si="5"/>
        <v>4276.9883541318159</v>
      </c>
      <c r="J40" s="8">
        <f t="shared" si="6"/>
        <v>13025.453143077517</v>
      </c>
      <c r="K40" s="15">
        <f t="shared" si="7"/>
        <v>833.71988418279125</v>
      </c>
      <c r="L40" s="16">
        <f t="shared" si="8"/>
        <v>1301.7232199174368</v>
      </c>
      <c r="M40" s="18">
        <f t="shared" si="9"/>
        <v>-468.00333573464559</v>
      </c>
      <c r="N40" s="18">
        <f t="shared" si="10"/>
        <v>-8756.9910594648936</v>
      </c>
    </row>
    <row r="41" spans="1:14">
      <c r="A41">
        <v>2047</v>
      </c>
      <c r="B41" s="2">
        <f>B39*((B44/B39)^(2/5))</f>
        <v>243.47645488648664</v>
      </c>
      <c r="C41" s="2">
        <f t="shared" si="0"/>
        <v>186.74644089793526</v>
      </c>
      <c r="D41" s="2">
        <f t="shared" si="1"/>
        <v>14.786082707132122</v>
      </c>
      <c r="E41" s="2">
        <f>E39*((E44/E39)^(2/5))</f>
        <v>86.069215763624939</v>
      </c>
      <c r="F41" s="2">
        <f t="shared" si="2"/>
        <v>9.6397521655259926</v>
      </c>
      <c r="G41" s="2">
        <f t="shared" si="3"/>
        <v>196.38619306346126</v>
      </c>
      <c r="H41" s="2">
        <f t="shared" si="4"/>
        <v>100.85529847075706</v>
      </c>
      <c r="I41" s="12">
        <f t="shared" si="5"/>
        <v>4276.9883541318159</v>
      </c>
      <c r="J41" s="8">
        <f t="shared" si="6"/>
        <v>13025.453143077517</v>
      </c>
      <c r="K41" s="15">
        <f t="shared" si="7"/>
        <v>839.94146064470624</v>
      </c>
      <c r="L41" s="16">
        <f t="shared" si="8"/>
        <v>1313.6859644619435</v>
      </c>
      <c r="M41" s="18">
        <f t="shared" si="9"/>
        <v>-473.74450381723727</v>
      </c>
      <c r="N41" s="18">
        <f t="shared" si="10"/>
        <v>-9484.6883040066114</v>
      </c>
    </row>
    <row r="42" spans="1:14">
      <c r="A42">
        <v>2048</v>
      </c>
      <c r="B42" s="2">
        <f>B39*((B44/B39)^(3/5))</f>
        <v>245.26775863333955</v>
      </c>
      <c r="C42" s="2">
        <f t="shared" si="0"/>
        <v>188.12037087177143</v>
      </c>
      <c r="D42" s="2">
        <f t="shared" si="1"/>
        <v>14.894866800308241</v>
      </c>
      <c r="E42" s="2">
        <f>E39*((E44/E39)^(3/5))</f>
        <v>86.887342537638546</v>
      </c>
      <c r="F42" s="2">
        <f t="shared" si="2"/>
        <v>9.7313823642155182</v>
      </c>
      <c r="G42" s="2">
        <f t="shared" si="3"/>
        <v>197.85175323598693</v>
      </c>
      <c r="H42" s="2">
        <f t="shared" si="4"/>
        <v>101.78220933794678</v>
      </c>
      <c r="I42" s="12">
        <f t="shared" si="5"/>
        <v>4276.9883541318159</v>
      </c>
      <c r="J42" s="8">
        <f t="shared" si="6"/>
        <v>13025.453143077517</v>
      </c>
      <c r="K42" s="15">
        <f t="shared" si="7"/>
        <v>846.20964443487787</v>
      </c>
      <c r="L42" s="16">
        <f t="shared" si="8"/>
        <v>1325.7593985303326</v>
      </c>
      <c r="M42" s="18">
        <f t="shared" si="9"/>
        <v>-479.54975409545477</v>
      </c>
      <c r="N42" s="18">
        <f t="shared" si="10"/>
        <v>-10239.294018918257</v>
      </c>
    </row>
    <row r="43" spans="1:14">
      <c r="A43">
        <v>2049</v>
      </c>
      <c r="B43" s="2">
        <f>B39*((B44/B39)^(4/5))</f>
        <v>247.07224135109124</v>
      </c>
      <c r="C43" s="2">
        <f t="shared" si="0"/>
        <v>189.50440911628698</v>
      </c>
      <c r="D43" s="2">
        <f t="shared" si="1"/>
        <v>15.004451239266441</v>
      </c>
      <c r="E43" s="2">
        <f>E39*((E44/E39)^(4/5))</f>
        <v>87.713245976193818</v>
      </c>
      <c r="F43" s="2">
        <f t="shared" si="2"/>
        <v>9.8238835493337078</v>
      </c>
      <c r="G43" s="2">
        <f t="shared" si="3"/>
        <v>199.32829266562069</v>
      </c>
      <c r="H43" s="2">
        <f t="shared" si="4"/>
        <v>102.71769721546026</v>
      </c>
      <c r="I43" s="12">
        <f t="shared" si="5"/>
        <v>4276.9883541318159</v>
      </c>
      <c r="J43" s="8">
        <f t="shared" si="6"/>
        <v>13025.453143077517</v>
      </c>
      <c r="K43" s="15">
        <f t="shared" si="7"/>
        <v>852.52478637983802</v>
      </c>
      <c r="L43" s="16">
        <f t="shared" si="8"/>
        <v>1337.9445520448016</v>
      </c>
      <c r="M43" s="18">
        <f t="shared" si="9"/>
        <v>-485.41976566496362</v>
      </c>
      <c r="N43" s="18">
        <f t="shared" si="10"/>
        <v>-11021.653311131849</v>
      </c>
    </row>
    <row r="44" spans="1:14">
      <c r="A44">
        <v>2050</v>
      </c>
      <c r="B44" s="2">
        <v>248.89</v>
      </c>
      <c r="C44" s="2">
        <f t="shared" si="0"/>
        <v>190.89863</v>
      </c>
      <c r="D44" s="2">
        <f t="shared" si="1"/>
        <v>15.114841912306675</v>
      </c>
      <c r="E44" s="2">
        <v>88.546999999999997</v>
      </c>
      <c r="F44" s="2">
        <f t="shared" si="2"/>
        <v>9.9172639999999994</v>
      </c>
      <c r="G44" s="2">
        <f t="shared" si="3"/>
        <v>200.81589399999999</v>
      </c>
      <c r="H44" s="2">
        <f t="shared" si="4"/>
        <v>103.66184191230667</v>
      </c>
      <c r="I44" s="12">
        <f t="shared" si="5"/>
        <v>4276.9883541318159</v>
      </c>
      <c r="J44" s="8">
        <f t="shared" si="6"/>
        <v>13025.453143077517</v>
      </c>
      <c r="K44" s="15">
        <f t="shared" si="7"/>
        <v>858.88723996256908</v>
      </c>
      <c r="L44" s="16">
        <f t="shared" si="8"/>
        <v>1350.2424645538595</v>
      </c>
      <c r="M44" s="18">
        <f t="shared" si="9"/>
        <v>-491.35522459129038</v>
      </c>
      <c r="N44" s="18">
        <f t="shared" si="10"/>
        <v>-11832.636481745963</v>
      </c>
    </row>
    <row r="45" spans="1:14">
      <c r="B45" s="20"/>
      <c r="C45" s="20"/>
    </row>
    <row r="46" spans="1:14">
      <c r="B46" s="21"/>
      <c r="C46" s="20"/>
    </row>
    <row r="47" spans="1:14">
      <c r="B47" s="21"/>
      <c r="C47" s="20"/>
    </row>
    <row r="48" spans="1:14">
      <c r="B48" s="21"/>
      <c r="C48" s="20"/>
    </row>
    <row r="49" spans="2:3">
      <c r="B49" s="21"/>
      <c r="C49" s="20"/>
    </row>
    <row r="50" spans="2:3">
      <c r="B50" s="21"/>
      <c r="C50" s="20"/>
    </row>
    <row r="51" spans="2:3">
      <c r="B51" s="21"/>
      <c r="C51" s="22"/>
    </row>
    <row r="52" spans="2:3">
      <c r="B52" s="21"/>
      <c r="C52" s="20"/>
    </row>
    <row r="53" spans="2:3">
      <c r="B53" s="21"/>
      <c r="C53" s="20"/>
    </row>
    <row r="54" spans="2:3">
      <c r="B54" s="21"/>
      <c r="C54" s="20"/>
    </row>
    <row r="55" spans="2:3">
      <c r="B55" s="20"/>
      <c r="C55" s="20"/>
    </row>
  </sheetData>
  <mergeCells count="4">
    <mergeCell ref="B1:H1"/>
    <mergeCell ref="K1:N1"/>
    <mergeCell ref="B2:D2"/>
    <mergeCell ref="E2:F2"/>
  </mergeCells>
  <phoneticPr fontId="2" type="noConversion"/>
  <pageMargins left="0.75" right="0.75" top="1" bottom="1" header="0.5" footer="0.5"/>
  <pageSetup orientation="portrait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Projections</vt:lpstr>
    </vt:vector>
  </TitlesOfParts>
  <Company>Northwestern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Benjamin</cp:lastModifiedBy>
  <dcterms:created xsi:type="dcterms:W3CDTF">2008-09-22T12:20:05Z</dcterms:created>
  <dcterms:modified xsi:type="dcterms:W3CDTF">2012-10-01T20:58:26Z</dcterms:modified>
</cp:coreProperties>
</file>